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16" windowWidth="24795" windowHeight="12795" activeTab="0"/>
  </bookViews>
  <sheets>
    <sheet name="クロソイド・単曲-1" sheetId="1" r:id="rId1"/>
    <sheet name="クロソイド・単曲-2" sheetId="2" r:id="rId2"/>
  </sheets>
  <definedNames>
    <definedName name="_xlnm.Print_Area" localSheetId="0">'クロソイド・単曲-1'!$A$1:$M$153</definedName>
    <definedName name="_xlnm.Print_Area" localSheetId="1">'クロソイド・単曲-2'!$A$1:$M$153</definedName>
  </definedNames>
  <calcPr fullCalcOnLoad="1"/>
</workbook>
</file>

<file path=xl/sharedStrings.xml><?xml version="1.0" encoding="utf-8"?>
<sst xmlns="http://schemas.openxmlformats.org/spreadsheetml/2006/main" count="590" uniqueCount="155">
  <si>
    <t>クロソイド</t>
  </si>
  <si>
    <t>A</t>
  </si>
  <si>
    <t>R</t>
  </si>
  <si>
    <t>L</t>
  </si>
  <si>
    <t>単曲</t>
  </si>
  <si>
    <t>IA</t>
  </si>
  <si>
    <t>CL</t>
  </si>
  <si>
    <t>CL=R・IA・(π/180)</t>
  </si>
  <si>
    <t>θ</t>
  </si>
  <si>
    <t>τ</t>
  </si>
  <si>
    <t>X</t>
  </si>
  <si>
    <t>Y</t>
  </si>
  <si>
    <t>DR</t>
  </si>
  <si>
    <t>TL</t>
  </si>
  <si>
    <t>So</t>
  </si>
  <si>
    <t>XM</t>
  </si>
  <si>
    <t>TK</t>
  </si>
  <si>
    <t>N</t>
  </si>
  <si>
    <t>T</t>
  </si>
  <si>
    <t>YM</t>
  </si>
  <si>
    <t>U</t>
  </si>
  <si>
    <t>V</t>
  </si>
  <si>
    <t>M</t>
  </si>
  <si>
    <t>SL</t>
  </si>
  <si>
    <t>TL=R×tan(IA×(π/180)/2)</t>
  </si>
  <si>
    <t>SL=R×((1/(cos(IA×(π/180)/2)))-1)</t>
  </si>
  <si>
    <t>IA・π/180</t>
  </si>
  <si>
    <t>M=R×(1-cos/(IA×π/180/2))</t>
  </si>
  <si>
    <t>偏角計算</t>
  </si>
  <si>
    <t>L2</t>
  </si>
  <si>
    <t>距離 L1</t>
  </si>
  <si>
    <t>eL</t>
  </si>
  <si>
    <t>θ1</t>
  </si>
  <si>
    <t>θ1=L1/(2・R)・180/π</t>
  </si>
  <si>
    <t>L2=2・R・sinθ・π/180</t>
  </si>
  <si>
    <t>τ(rad)</t>
  </si>
  <si>
    <t>YM=R+DR</t>
  </si>
  <si>
    <t>τ=τ(red)×180/π</t>
  </si>
  <si>
    <t>（deg)ﾃﾞｸﾞﾘｰ通常計算ﾓｰﾄﾞ π/180 　(red)ﾗｼﾞｱﾝﾓｰﾄﾞ　180/π</t>
  </si>
  <si>
    <t>π/180</t>
  </si>
  <si>
    <t>180/π</t>
  </si>
  <si>
    <t>eL=2×R×sin(IA・(π/180)/2)</t>
  </si>
  <si>
    <t xml:space="preserve">  °   ′   ″</t>
  </si>
  <si>
    <t>θ1(red)</t>
  </si>
  <si>
    <t>So1</t>
  </si>
  <si>
    <t>KA～ＢＣ　0-00-00</t>
  </si>
  <si>
    <t>BC&amp;EC～IA 0-00-00</t>
  </si>
  <si>
    <t>θ(rad)</t>
  </si>
  <si>
    <t>θ=θ(rad)×180/π</t>
  </si>
  <si>
    <t>W</t>
  </si>
  <si>
    <t>W=T-XM</t>
  </si>
  <si>
    <r>
      <t>L=A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/R</t>
    </r>
  </si>
  <si>
    <r>
      <t>τ(rad)=A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/2/R</t>
    </r>
    <r>
      <rPr>
        <vertAlign val="superscript"/>
        <sz val="10"/>
        <color indexed="8"/>
        <rFont val="ＭＳ Ｐゴシック"/>
        <family val="3"/>
      </rPr>
      <t>2</t>
    </r>
  </si>
  <si>
    <t>青入力</t>
  </si>
  <si>
    <t>KA X</t>
  </si>
  <si>
    <t>KA Y</t>
  </si>
  <si>
    <t>IA X</t>
  </si>
  <si>
    <t>IA Y</t>
  </si>
  <si>
    <t>TH(red)</t>
  </si>
  <si>
    <t>距離 S</t>
  </si>
  <si>
    <t>dx</t>
  </si>
  <si>
    <t>dy</t>
  </si>
  <si>
    <t>左=0 右=1</t>
  </si>
  <si>
    <t>TH+θ1</t>
  </si>
  <si>
    <t>TH</t>
  </si>
  <si>
    <t>N=YM/cos(τ(rad))-R</t>
  </si>
  <si>
    <t>曲線表</t>
  </si>
  <si>
    <t>IPNo</t>
  </si>
  <si>
    <t>T.K</t>
  </si>
  <si>
    <t>T.L</t>
  </si>
  <si>
    <t>D</t>
  </si>
  <si>
    <t>α</t>
  </si>
  <si>
    <t>LC.L</t>
  </si>
  <si>
    <t>LT.L</t>
  </si>
  <si>
    <t>DIS</t>
  </si>
  <si>
    <t>BTC</t>
  </si>
  <si>
    <t>BC</t>
  </si>
  <si>
    <t>EC</t>
  </si>
  <si>
    <t>ETC</t>
  </si>
  <si>
    <t>1(R)</t>
  </si>
  <si>
    <t>31-19-28</t>
  </si>
  <si>
    <t>8-08-55</t>
  </si>
  <si>
    <t>15-01-37</t>
  </si>
  <si>
    <t>2(L)</t>
  </si>
  <si>
    <t>29-46-12</t>
  </si>
  <si>
    <t>7-09-43</t>
  </si>
  <si>
    <t>15-26-46</t>
  </si>
  <si>
    <t>単曲ＩＡ</t>
  </si>
  <si>
    <t>BP=0</t>
  </si>
  <si>
    <t>EP</t>
  </si>
  <si>
    <t>x</t>
  </si>
  <si>
    <t>y</t>
  </si>
  <si>
    <t>θ(rad)=atan(y/x)/2</t>
  </si>
  <si>
    <r>
      <t>x=L×(1-L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/40/R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+L</t>
    </r>
    <r>
      <rPr>
        <vertAlign val="superscript"/>
        <sz val="10"/>
        <color indexed="8"/>
        <rFont val="ＭＳ Ｐゴシック"/>
        <family val="3"/>
      </rPr>
      <t>4</t>
    </r>
    <r>
      <rPr>
        <sz val="10"/>
        <color indexed="8"/>
        <rFont val="ＭＳ Ｐゴシック"/>
        <family val="3"/>
      </rPr>
      <t>/3456/R</t>
    </r>
    <r>
      <rPr>
        <vertAlign val="superscript"/>
        <sz val="10"/>
        <color indexed="8"/>
        <rFont val="ＭＳ Ｐゴシック"/>
        <family val="3"/>
      </rPr>
      <t>4</t>
    </r>
    <r>
      <rPr>
        <sz val="10"/>
        <color indexed="8"/>
        <rFont val="ＭＳ Ｐゴシック"/>
        <family val="3"/>
      </rPr>
      <t>-L</t>
    </r>
    <r>
      <rPr>
        <vertAlign val="superscript"/>
        <sz val="10"/>
        <color indexed="8"/>
        <rFont val="ＭＳ Ｐゴシック"/>
        <family val="3"/>
      </rPr>
      <t>6</t>
    </r>
    <r>
      <rPr>
        <sz val="10"/>
        <color indexed="8"/>
        <rFont val="ＭＳ Ｐゴシック"/>
        <family val="3"/>
      </rPr>
      <t>/599040/R</t>
    </r>
    <r>
      <rPr>
        <vertAlign val="superscript"/>
        <sz val="10"/>
        <color indexed="8"/>
        <rFont val="ＭＳ Ｐゴシック"/>
        <family val="3"/>
      </rPr>
      <t>6</t>
    </r>
    <r>
      <rPr>
        <sz val="10"/>
        <color indexed="8"/>
        <rFont val="ＭＳ Ｐゴシック"/>
        <family val="3"/>
      </rPr>
      <t>)</t>
    </r>
  </si>
  <si>
    <r>
      <t>y=L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/6/R×(1-L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/56/R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+L4/7040/R</t>
    </r>
    <r>
      <rPr>
        <vertAlign val="superscript"/>
        <sz val="10"/>
        <color indexed="8"/>
        <rFont val="ＭＳ Ｐゴシック"/>
        <family val="3"/>
      </rPr>
      <t>4</t>
    </r>
    <r>
      <rPr>
        <sz val="10"/>
        <color indexed="8"/>
        <rFont val="ＭＳ Ｐゴシック"/>
        <family val="3"/>
      </rPr>
      <t>-L</t>
    </r>
    <r>
      <rPr>
        <vertAlign val="superscript"/>
        <sz val="10"/>
        <color indexed="8"/>
        <rFont val="ＭＳ Ｐゴシック"/>
        <family val="3"/>
      </rPr>
      <t>6</t>
    </r>
    <r>
      <rPr>
        <sz val="10"/>
        <color indexed="8"/>
        <rFont val="ＭＳ Ｐゴシック"/>
        <family val="3"/>
      </rPr>
      <t>/1612800/R</t>
    </r>
    <r>
      <rPr>
        <vertAlign val="superscript"/>
        <sz val="10"/>
        <color indexed="8"/>
        <rFont val="ＭＳ Ｐゴシック"/>
        <family val="3"/>
      </rPr>
      <t>6</t>
    </r>
    <r>
      <rPr>
        <sz val="10"/>
        <color indexed="8"/>
        <rFont val="ＭＳ Ｐゴシック"/>
        <family val="3"/>
      </rPr>
      <t>)</t>
    </r>
  </si>
  <si>
    <t>TK=y×1/sin(τ)</t>
  </si>
  <si>
    <t>TL=x-y×1/tan(τ)</t>
  </si>
  <si>
    <t>So=y/sin(θ(rad))</t>
  </si>
  <si>
    <r>
      <t>T=x+√(N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-Y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)</t>
    </r>
  </si>
  <si>
    <t>U=x-TL</t>
  </si>
  <si>
    <t>V=T-x</t>
  </si>
  <si>
    <t>XM=x-R×sin(τ×π/180)</t>
  </si>
  <si>
    <t>DR=y+R×cos(τ)-R</t>
  </si>
  <si>
    <r>
      <t>A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=R・L   A=√(R・L)</t>
    </r>
  </si>
  <si>
    <t>幅杭計算</t>
  </si>
  <si>
    <t>IA(red)</t>
  </si>
  <si>
    <t>ＴＨ BC⇒IP</t>
  </si>
  <si>
    <t>巾</t>
  </si>
  <si>
    <t>R</t>
  </si>
  <si>
    <t>開始SP</t>
  </si>
  <si>
    <t>SP間隔</t>
  </si>
  <si>
    <t>ＫＡ-SP</t>
  </si>
  <si>
    <t>BC-SP</t>
  </si>
  <si>
    <t>クロソイド部</t>
  </si>
  <si>
    <t>単曲部</t>
  </si>
  <si>
    <t>L</t>
  </si>
  <si>
    <t>SP</t>
  </si>
  <si>
    <t>SP</t>
  </si>
  <si>
    <t>クロソイド</t>
  </si>
  <si>
    <t>中心計算</t>
  </si>
  <si>
    <t>BC-X</t>
  </si>
  <si>
    <t>BC-Y</t>
  </si>
  <si>
    <t>IA</t>
  </si>
  <si>
    <t>EC-X</t>
  </si>
  <si>
    <t>EC-Y</t>
  </si>
  <si>
    <t>ＫB-SP</t>
  </si>
  <si>
    <t>KB X</t>
  </si>
  <si>
    <t>KB Y</t>
  </si>
  <si>
    <t>単曲</t>
  </si>
  <si>
    <t>クロソイド</t>
  </si>
  <si>
    <t>Y</t>
  </si>
  <si>
    <t>L-BTC</t>
  </si>
  <si>
    <t>R-BTC</t>
  </si>
  <si>
    <t>L-BC</t>
  </si>
  <si>
    <t>R-BC</t>
  </si>
  <si>
    <t>R-ETC</t>
  </si>
  <si>
    <t>L-ETC</t>
  </si>
  <si>
    <t>IA</t>
  </si>
  <si>
    <t>L-EC</t>
  </si>
  <si>
    <t>R-EC</t>
  </si>
  <si>
    <t>X</t>
  </si>
  <si>
    <t>IA</t>
  </si>
  <si>
    <t>IA</t>
  </si>
  <si>
    <t>BTC～IA</t>
  </si>
  <si>
    <t>円C.L</t>
  </si>
  <si>
    <t>円T.L</t>
  </si>
  <si>
    <t>円SL</t>
  </si>
  <si>
    <t>TH(red)</t>
  </si>
  <si>
    <t>TH</t>
  </si>
  <si>
    <t>円-IP</t>
  </si>
  <si>
    <t>X</t>
  </si>
  <si>
    <t>Y</t>
  </si>
  <si>
    <t>対称クロソイド単曲あり、凸型クロソイド単曲無し、卵型は単曲からクロソイド、単曲</t>
  </si>
  <si>
    <t>KA X=X+So1･cos(θ1)</t>
  </si>
  <si>
    <t>KA Y=Y+So1・sin(θ1)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</si>
</sst>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#,##0.0;[Red]\-#,##0.0"/>
    <numFmt numFmtId="180" formatCode="#,##0.000;[Red]\-#,##0.000"/>
    <numFmt numFmtId="181" formatCode="#,##0.0000;[Red]\-#,##0.0000"/>
    <numFmt numFmtId="182" formatCode="#,##0.0000_ ;[Red]\-#,##0.0000\ "/>
    <numFmt numFmtId="183" formatCode="#,##0.000000000000000_ ;[Red]\-#,##0.000000000000000\ "/>
    <numFmt numFmtId="184" formatCode="#,##0.00000;[Red]\-#,##0.00000"/>
    <numFmt numFmtId="185" formatCode="#,##0.000_ ;[Red]\-#,##0.000\ "/>
    <numFmt numFmtId="186" formatCode="#,##0.0000000000000_ ;[Red]\-#,##0.0000000000000\ "/>
    <numFmt numFmtId="187" formatCode="0.0_ "/>
    <numFmt numFmtId="188" formatCode="0.000_ "/>
    <numFmt numFmtId="189" formatCode="#,##0.000"/>
    <numFmt numFmtId="190" formatCode="#,##0.000_ "/>
    <numFmt numFmtId="191" formatCode="#,##0.000000000000_ "/>
    <numFmt numFmtId="192" formatCode="0.0000_ "/>
    <numFmt numFmtId="193" formatCode="#,##0.0000"/>
    <numFmt numFmtId="194" formatCode="#,##0.00000000000000_ ;[Red]\-#,##0.00000000000000\ "/>
    <numFmt numFmtId="195" formatCode="&quot;左&quot;\ 0.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右&quot;\ 0.00"/>
    <numFmt numFmtId="201" formatCode="#,##0.00_ ;[Red]\-#,##0.00\ "/>
    <numFmt numFmtId="202" formatCode="0.0000000000000000_ "/>
    <numFmt numFmtId="203" formatCode="0.00000_ "/>
    <numFmt numFmtId="204" formatCode="0.000000_ "/>
    <numFmt numFmtId="205" formatCode="0.0000000_ "/>
    <numFmt numFmtId="206" formatCode="0.0000000"/>
    <numFmt numFmtId="207" formatCode="0.000000"/>
    <numFmt numFmtId="208" formatCode="0.00000"/>
    <numFmt numFmtId="209" formatCode="#,##0.0000_ "/>
    <numFmt numFmtId="210" formatCode="0.000000000000000_ "/>
    <numFmt numFmtId="211" formatCode="0.0000000000000_ "/>
    <numFmt numFmtId="212" formatCode="0.00000000000000_ "/>
    <numFmt numFmtId="213" formatCode="0.00000000000000000_ "/>
    <numFmt numFmtId="214" formatCode="0.000000000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10"/>
      <color rgb="FF0000F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181" fontId="44" fillId="0" borderId="12" xfId="49" applyNumberFormat="1" applyFont="1" applyBorder="1" applyAlignment="1">
      <alignment vertical="center"/>
    </xf>
    <xf numFmtId="180" fontId="44" fillId="0" borderId="12" xfId="49" applyNumberFormat="1" applyFont="1" applyBorder="1" applyAlignment="1">
      <alignment vertical="center"/>
    </xf>
    <xf numFmtId="178" fontId="44" fillId="0" borderId="12" xfId="0" applyNumberFormat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181" fontId="44" fillId="0" borderId="0" xfId="49" applyNumberFormat="1" applyFont="1" applyAlignment="1">
      <alignment vertical="center"/>
    </xf>
    <xf numFmtId="38" fontId="44" fillId="0" borderId="13" xfId="49" applyFont="1" applyBorder="1" applyAlignment="1">
      <alignment vertical="center"/>
    </xf>
    <xf numFmtId="38" fontId="44" fillId="0" borderId="11" xfId="49" applyFont="1" applyBorder="1" applyAlignment="1">
      <alignment vertical="center"/>
    </xf>
    <xf numFmtId="38" fontId="44" fillId="0" borderId="14" xfId="49" applyFont="1" applyBorder="1" applyAlignment="1">
      <alignment vertical="center"/>
    </xf>
    <xf numFmtId="181" fontId="44" fillId="0" borderId="12" xfId="49" applyNumberFormat="1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38" fontId="44" fillId="0" borderId="0" xfId="49" applyFont="1" applyAlignment="1">
      <alignment vertical="center"/>
    </xf>
    <xf numFmtId="38" fontId="45" fillId="0" borderId="13" xfId="49" applyFont="1" applyBorder="1" applyAlignment="1">
      <alignment vertical="center"/>
    </xf>
    <xf numFmtId="38" fontId="45" fillId="0" borderId="11" xfId="49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180" fontId="45" fillId="0" borderId="12" xfId="49" applyNumberFormat="1" applyFont="1" applyBorder="1" applyAlignment="1">
      <alignment vertical="center"/>
    </xf>
    <xf numFmtId="0" fontId="44" fillId="10" borderId="12" xfId="0" applyFont="1" applyFill="1" applyBorder="1" applyAlignment="1">
      <alignment horizontal="center" vertical="center" shrinkToFit="1"/>
    </xf>
    <xf numFmtId="0" fontId="44" fillId="0" borderId="12" xfId="0" applyFont="1" applyBorder="1" applyAlignment="1">
      <alignment vertical="center"/>
    </xf>
    <xf numFmtId="180" fontId="44" fillId="0" borderId="0" xfId="49" applyNumberFormat="1" applyFont="1" applyAlignment="1">
      <alignment vertical="center"/>
    </xf>
    <xf numFmtId="0" fontId="44" fillId="7" borderId="12" xfId="0" applyFont="1" applyFill="1" applyBorder="1" applyAlignment="1">
      <alignment horizontal="center" vertical="center"/>
    </xf>
    <xf numFmtId="0" fontId="44" fillId="10" borderId="15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177" fontId="45" fillId="0" borderId="12" xfId="0" applyNumberFormat="1" applyFont="1" applyBorder="1" applyAlignment="1">
      <alignment vertical="center"/>
    </xf>
    <xf numFmtId="181" fontId="44" fillId="0" borderId="0" xfId="49" applyNumberFormat="1" applyFont="1" applyBorder="1" applyAlignment="1">
      <alignment vertical="center"/>
    </xf>
    <xf numFmtId="38" fontId="45" fillId="0" borderId="0" xfId="49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80" fontId="45" fillId="0" borderId="0" xfId="49" applyNumberFormat="1" applyFont="1" applyBorder="1" applyAlignment="1">
      <alignment vertical="center"/>
    </xf>
    <xf numFmtId="180" fontId="44" fillId="0" borderId="0" xfId="49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77" fontId="45" fillId="0" borderId="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89" fontId="0" fillId="0" borderId="0" xfId="49" applyNumberFormat="1" applyFont="1" applyAlignment="1">
      <alignment vertical="center"/>
    </xf>
    <xf numFmtId="189" fontId="0" fillId="0" borderId="16" xfId="49" applyNumberFormat="1" applyFont="1" applyFill="1" applyBorder="1" applyAlignment="1">
      <alignment horizontal="center" vertical="center"/>
    </xf>
    <xf numFmtId="188" fontId="0" fillId="0" borderId="0" xfId="49" applyNumberFormat="1" applyFont="1" applyAlignment="1">
      <alignment vertical="center"/>
    </xf>
    <xf numFmtId="40" fontId="44" fillId="0" borderId="12" xfId="49" applyNumberFormat="1" applyFont="1" applyBorder="1" applyAlignment="1">
      <alignment vertical="center"/>
    </xf>
    <xf numFmtId="193" fontId="44" fillId="0" borderId="12" xfId="49" applyNumberFormat="1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5" borderId="13" xfId="0" applyFont="1" applyFill="1" applyBorder="1" applyAlignment="1">
      <alignment horizontal="center" vertical="center"/>
    </xf>
    <xf numFmtId="40" fontId="46" fillId="0" borderId="0" xfId="49" applyNumberFormat="1" applyFont="1" applyBorder="1" applyAlignment="1">
      <alignment vertical="center"/>
    </xf>
    <xf numFmtId="193" fontId="44" fillId="0" borderId="0" xfId="49" applyNumberFormat="1" applyFont="1" applyBorder="1" applyAlignment="1">
      <alignment vertical="center"/>
    </xf>
    <xf numFmtId="181" fontId="46" fillId="0" borderId="12" xfId="49" applyNumberFormat="1" applyFont="1" applyBorder="1" applyAlignment="1">
      <alignment vertical="center"/>
    </xf>
    <xf numFmtId="40" fontId="44" fillId="0" borderId="0" xfId="49" applyNumberFormat="1" applyFont="1" applyBorder="1" applyAlignment="1">
      <alignment vertical="center"/>
    </xf>
    <xf numFmtId="181" fontId="44" fillId="10" borderId="0" xfId="49" applyNumberFormat="1" applyFont="1" applyFill="1" applyBorder="1" applyAlignment="1">
      <alignment vertical="center"/>
    </xf>
    <xf numFmtId="180" fontId="44" fillId="10" borderId="0" xfId="49" applyNumberFormat="1" applyFont="1" applyFill="1" applyBorder="1" applyAlignment="1">
      <alignment vertical="center"/>
    </xf>
    <xf numFmtId="0" fontId="44" fillId="5" borderId="17" xfId="0" applyFont="1" applyFill="1" applyBorder="1" applyAlignment="1">
      <alignment horizontal="center" vertical="center"/>
    </xf>
    <xf numFmtId="180" fontId="44" fillId="0" borderId="12" xfId="49" applyNumberFormat="1" applyFont="1" applyBorder="1" applyAlignment="1">
      <alignment horizontal="center" vertical="center"/>
    </xf>
    <xf numFmtId="181" fontId="44" fillId="0" borderId="0" xfId="49" applyNumberFormat="1" applyFont="1" applyAlignment="1">
      <alignment vertical="center"/>
    </xf>
    <xf numFmtId="177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89" fontId="46" fillId="5" borderId="12" xfId="49" applyNumberFormat="1" applyFont="1" applyFill="1" applyBorder="1" applyAlignment="1">
      <alignment horizontal="center" vertical="center" shrinkToFit="1"/>
    </xf>
    <xf numFmtId="193" fontId="44" fillId="10" borderId="12" xfId="49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1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10" borderId="12" xfId="0" applyFont="1" applyFill="1" applyBorder="1" applyAlignment="1">
      <alignment horizontal="center" vertical="center"/>
    </xf>
    <xf numFmtId="177" fontId="44" fillId="0" borderId="12" xfId="0" applyNumberFormat="1" applyFont="1" applyBorder="1" applyAlignment="1">
      <alignment vertical="center"/>
    </xf>
    <xf numFmtId="180" fontId="44" fillId="0" borderId="12" xfId="49" applyNumberFormat="1" applyFont="1" applyBorder="1" applyAlignment="1">
      <alignment vertical="center"/>
    </xf>
    <xf numFmtId="188" fontId="45" fillId="0" borderId="13" xfId="49" applyNumberFormat="1" applyFont="1" applyBorder="1" applyAlignment="1">
      <alignment vertical="center"/>
    </xf>
    <xf numFmtId="180" fontId="46" fillId="10" borderId="12" xfId="49" applyNumberFormat="1" applyFont="1" applyFill="1" applyBorder="1" applyAlignment="1">
      <alignment horizontal="center" vertical="center"/>
    </xf>
    <xf numFmtId="180" fontId="46" fillId="0" borderId="12" xfId="49" applyNumberFormat="1" applyFont="1" applyBorder="1" applyAlignment="1">
      <alignment vertical="center"/>
    </xf>
    <xf numFmtId="180" fontId="46" fillId="10" borderId="17" xfId="49" applyNumberFormat="1" applyFont="1" applyFill="1" applyBorder="1" applyAlignment="1">
      <alignment horizontal="center" vertical="center"/>
    </xf>
    <xf numFmtId="180" fontId="46" fillId="0" borderId="12" xfId="49" applyNumberFormat="1" applyFont="1" applyBorder="1" applyAlignment="1">
      <alignment vertical="center"/>
    </xf>
    <xf numFmtId="40" fontId="46" fillId="10" borderId="12" xfId="49" applyNumberFormat="1" applyFont="1" applyFill="1" applyBorder="1" applyAlignment="1">
      <alignment horizontal="center" vertical="center"/>
    </xf>
    <xf numFmtId="181" fontId="44" fillId="10" borderId="12" xfId="49" applyNumberFormat="1" applyFont="1" applyFill="1" applyBorder="1" applyAlignment="1">
      <alignment horizontal="center" vertical="center"/>
    </xf>
    <xf numFmtId="188" fontId="45" fillId="0" borderId="10" xfId="49" applyNumberFormat="1" applyFont="1" applyBorder="1" applyAlignment="1">
      <alignment vertical="center"/>
    </xf>
    <xf numFmtId="188" fontId="44" fillId="0" borderId="10" xfId="0" applyNumberFormat="1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188" fontId="45" fillId="0" borderId="18" xfId="49" applyNumberFormat="1" applyFont="1" applyBorder="1" applyAlignment="1">
      <alignment vertical="center"/>
    </xf>
    <xf numFmtId="188" fontId="44" fillId="0" borderId="18" xfId="0" applyNumberFormat="1" applyFont="1" applyBorder="1" applyAlignment="1">
      <alignment vertical="center"/>
    </xf>
    <xf numFmtId="180" fontId="44" fillId="0" borderId="10" xfId="49" applyNumberFormat="1" applyFont="1" applyBorder="1" applyAlignment="1">
      <alignment vertical="center"/>
    </xf>
    <xf numFmtId="180" fontId="44" fillId="0" borderId="18" xfId="49" applyNumberFormat="1" applyFont="1" applyBorder="1" applyAlignment="1">
      <alignment vertical="center"/>
    </xf>
    <xf numFmtId="181" fontId="44" fillId="0" borderId="10" xfId="49" applyNumberFormat="1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181" fontId="44" fillId="0" borderId="18" xfId="49" applyNumberFormat="1" applyFont="1" applyBorder="1" applyAlignment="1">
      <alignment vertical="center"/>
    </xf>
    <xf numFmtId="40" fontId="44" fillId="0" borderId="20" xfId="49" applyNumberFormat="1" applyFont="1" applyBorder="1" applyAlignment="1">
      <alignment vertical="center"/>
    </xf>
    <xf numFmtId="1" fontId="44" fillId="0" borderId="0" xfId="0" applyNumberFormat="1" applyFont="1" applyBorder="1" applyAlignment="1">
      <alignment vertical="center"/>
    </xf>
    <xf numFmtId="178" fontId="44" fillId="0" borderId="0" xfId="0" applyNumberFormat="1" applyFont="1" applyBorder="1" applyAlignment="1">
      <alignment vertical="center"/>
    </xf>
    <xf numFmtId="192" fontId="44" fillId="0" borderId="0" xfId="0" applyNumberFormat="1" applyFont="1" applyAlignment="1">
      <alignment vertical="center"/>
    </xf>
    <xf numFmtId="177" fontId="45" fillId="33" borderId="12" xfId="0" applyNumberFormat="1" applyFont="1" applyFill="1" applyBorder="1" applyAlignment="1">
      <alignment vertical="center"/>
    </xf>
    <xf numFmtId="188" fontId="45" fillId="33" borderId="13" xfId="49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181" fontId="45" fillId="0" borderId="0" xfId="49" applyNumberFormat="1" applyFont="1" applyBorder="1" applyAlignment="1">
      <alignment vertical="center"/>
    </xf>
    <xf numFmtId="180" fontId="44" fillId="0" borderId="19" xfId="49" applyNumberFormat="1" applyFont="1" applyBorder="1" applyAlignment="1">
      <alignment vertical="center"/>
    </xf>
    <xf numFmtId="0" fontId="44" fillId="10" borderId="12" xfId="0" applyFont="1" applyFill="1" applyBorder="1" applyAlignment="1">
      <alignment horizontal="center" vertical="center"/>
    </xf>
    <xf numFmtId="180" fontId="46" fillId="0" borderId="12" xfId="49" applyNumberFormat="1" applyFont="1" applyBorder="1" applyAlignment="1">
      <alignment vertical="center"/>
    </xf>
    <xf numFmtId="0" fontId="44" fillId="1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44" fillId="0" borderId="13" xfId="0" applyNumberFormat="1" applyFont="1" applyBorder="1" applyAlignment="1">
      <alignment vertical="center"/>
    </xf>
    <xf numFmtId="180" fontId="46" fillId="0" borderId="0" xfId="49" applyNumberFormat="1" applyFont="1" applyBorder="1" applyAlignment="1">
      <alignment vertical="center"/>
    </xf>
    <xf numFmtId="193" fontId="44" fillId="0" borderId="18" xfId="49" applyNumberFormat="1" applyFont="1" applyBorder="1" applyAlignment="1">
      <alignment vertical="center"/>
    </xf>
    <xf numFmtId="176" fontId="47" fillId="34" borderId="12" xfId="0" applyNumberFormat="1" applyFont="1" applyFill="1" applyBorder="1" applyAlignment="1">
      <alignment vertical="center"/>
    </xf>
    <xf numFmtId="0" fontId="47" fillId="34" borderId="0" xfId="0" applyFont="1" applyFill="1" applyAlignment="1">
      <alignment vertical="center"/>
    </xf>
    <xf numFmtId="180" fontId="47" fillId="34" borderId="12" xfId="49" applyNumberFormat="1" applyFont="1" applyFill="1" applyBorder="1" applyAlignment="1">
      <alignment vertical="center"/>
    </xf>
    <xf numFmtId="177" fontId="47" fillId="34" borderId="12" xfId="0" applyNumberFormat="1" applyFont="1" applyFill="1" applyBorder="1" applyAlignment="1">
      <alignment vertical="center"/>
    </xf>
    <xf numFmtId="177" fontId="47" fillId="34" borderId="12" xfId="0" applyNumberFormat="1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vertical="center"/>
    </xf>
    <xf numFmtId="189" fontId="47" fillId="35" borderId="0" xfId="49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189" fontId="47" fillId="35" borderId="11" xfId="49" applyNumberFormat="1" applyFont="1" applyFill="1" applyBorder="1" applyAlignment="1">
      <alignment horizontal="center" vertical="center"/>
    </xf>
    <xf numFmtId="176" fontId="46" fillId="0" borderId="12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34" borderId="12" xfId="0" applyFont="1" applyFill="1" applyBorder="1" applyAlignment="1">
      <alignment horizontal="center" vertical="center"/>
    </xf>
    <xf numFmtId="181" fontId="44" fillId="0" borderId="18" xfId="49" applyNumberFormat="1" applyFont="1" applyBorder="1" applyAlignment="1">
      <alignment vertical="center"/>
    </xf>
    <xf numFmtId="181" fontId="44" fillId="0" borderId="11" xfId="49" applyNumberFormat="1" applyFont="1" applyBorder="1" applyAlignment="1">
      <alignment vertical="center"/>
    </xf>
    <xf numFmtId="180" fontId="44" fillId="0" borderId="11" xfId="49" applyNumberFormat="1" applyFont="1" applyBorder="1" applyAlignment="1">
      <alignment vertical="center"/>
    </xf>
    <xf numFmtId="178" fontId="44" fillId="0" borderId="18" xfId="0" applyNumberFormat="1" applyFont="1" applyBorder="1" applyAlignment="1">
      <alignment vertical="center"/>
    </xf>
    <xf numFmtId="180" fontId="45" fillId="0" borderId="0" xfId="49" applyNumberFormat="1" applyFont="1" applyBorder="1" applyAlignment="1">
      <alignment vertical="center"/>
    </xf>
    <xf numFmtId="178" fontId="47" fillId="0" borderId="0" xfId="0" applyNumberFormat="1" applyFont="1" applyFill="1" applyBorder="1" applyAlignment="1">
      <alignment vertical="center"/>
    </xf>
    <xf numFmtId="177" fontId="47" fillId="0" borderId="0" xfId="0" applyNumberFormat="1" applyFont="1" applyFill="1" applyBorder="1" applyAlignment="1">
      <alignment vertical="center"/>
    </xf>
    <xf numFmtId="0" fontId="44" fillId="0" borderId="18" xfId="0" applyFont="1" applyFill="1" applyBorder="1" applyAlignment="1">
      <alignment horizontal="center" vertical="center"/>
    </xf>
    <xf numFmtId="181" fontId="44" fillId="0" borderId="0" xfId="49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81" fontId="44" fillId="0" borderId="0" xfId="49" applyNumberFormat="1" applyFont="1" applyFill="1" applyBorder="1" applyAlignment="1">
      <alignment vertical="center"/>
    </xf>
    <xf numFmtId="0" fontId="47" fillId="34" borderId="13" xfId="0" applyFont="1" applyFill="1" applyBorder="1" applyAlignment="1">
      <alignment vertical="center"/>
    </xf>
    <xf numFmtId="0" fontId="47" fillId="34" borderId="11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188" fontId="44" fillId="0" borderId="0" xfId="0" applyNumberFormat="1" applyFont="1" applyAlignment="1">
      <alignment vertical="center"/>
    </xf>
    <xf numFmtId="40" fontId="44" fillId="10" borderId="13" xfId="49" applyNumberFormat="1" applyFont="1" applyFill="1" applyBorder="1" applyAlignment="1">
      <alignment vertical="center"/>
    </xf>
    <xf numFmtId="181" fontId="44" fillId="10" borderId="11" xfId="49" applyNumberFormat="1" applyFont="1" applyFill="1" applyBorder="1" applyAlignment="1">
      <alignment vertical="center"/>
    </xf>
    <xf numFmtId="180" fontId="44" fillId="10" borderId="11" xfId="49" applyNumberFormat="1" applyFont="1" applyFill="1" applyBorder="1" applyAlignment="1">
      <alignment vertical="center"/>
    </xf>
    <xf numFmtId="180" fontId="44" fillId="10" borderId="14" xfId="49" applyNumberFormat="1" applyFont="1" applyFill="1" applyBorder="1" applyAlignment="1">
      <alignment vertical="center"/>
    </xf>
    <xf numFmtId="195" fontId="47" fillId="34" borderId="12" xfId="49" applyNumberFormat="1" applyFont="1" applyFill="1" applyBorder="1" applyAlignment="1">
      <alignment horizontal="center" vertical="center"/>
    </xf>
    <xf numFmtId="200" fontId="47" fillId="34" borderId="12" xfId="49" applyNumberFormat="1" applyFont="1" applyFill="1" applyBorder="1" applyAlignment="1">
      <alignment horizontal="center" vertical="center"/>
    </xf>
    <xf numFmtId="195" fontId="46" fillId="0" borderId="12" xfId="49" applyNumberFormat="1" applyFont="1" applyBorder="1" applyAlignment="1">
      <alignment horizontal="center" vertical="center"/>
    </xf>
    <xf numFmtId="200" fontId="46" fillId="0" borderId="12" xfId="49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93" fontId="44" fillId="0" borderId="12" xfId="49" applyNumberFormat="1" applyFont="1" applyFill="1" applyBorder="1" applyAlignment="1">
      <alignment horizontal="center" vertical="center"/>
    </xf>
    <xf numFmtId="177" fontId="44" fillId="0" borderId="12" xfId="0" applyNumberFormat="1" applyFont="1" applyBorder="1" applyAlignment="1">
      <alignment vertical="center"/>
    </xf>
    <xf numFmtId="0" fontId="44" fillId="10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177" fontId="45" fillId="33" borderId="0" xfId="0" applyNumberFormat="1" applyFont="1" applyFill="1" applyBorder="1" applyAlignment="1">
      <alignment vertical="center"/>
    </xf>
    <xf numFmtId="188" fontId="45" fillId="0" borderId="0" xfId="49" applyNumberFormat="1" applyFont="1" applyBorder="1" applyAlignment="1">
      <alignment vertical="center"/>
    </xf>
    <xf numFmtId="188" fontId="45" fillId="33" borderId="0" xfId="49" applyNumberFormat="1" applyFont="1" applyFill="1" applyBorder="1" applyAlignment="1">
      <alignment vertical="center"/>
    </xf>
    <xf numFmtId="40" fontId="44" fillId="10" borderId="12" xfId="49" applyNumberFormat="1" applyFont="1" applyFill="1" applyBorder="1" applyAlignment="1">
      <alignment horizontal="center" vertical="center"/>
    </xf>
    <xf numFmtId="181" fontId="46" fillId="0" borderId="12" xfId="49" applyNumberFormat="1" applyFont="1" applyBorder="1" applyAlignment="1">
      <alignment vertical="center"/>
    </xf>
    <xf numFmtId="181" fontId="46" fillId="0" borderId="15" xfId="49" applyNumberFormat="1" applyFont="1" applyBorder="1" applyAlignment="1">
      <alignment vertical="center"/>
    </xf>
    <xf numFmtId="188" fontId="45" fillId="0" borderId="12" xfId="49" applyNumberFormat="1" applyFont="1" applyBorder="1" applyAlignment="1">
      <alignment vertical="center"/>
    </xf>
    <xf numFmtId="188" fontId="45" fillId="33" borderId="12" xfId="49" applyNumberFormat="1" applyFont="1" applyFill="1" applyBorder="1" applyAlignment="1">
      <alignment vertical="center"/>
    </xf>
    <xf numFmtId="180" fontId="0" fillId="0" borderId="0" xfId="49" applyNumberFormat="1" applyFont="1" applyAlignment="1">
      <alignment vertical="center"/>
    </xf>
    <xf numFmtId="180" fontId="0" fillId="0" borderId="0" xfId="49" applyNumberFormat="1" applyFont="1" applyAlignment="1">
      <alignment vertical="center"/>
    </xf>
    <xf numFmtId="180" fontId="46" fillId="0" borderId="17" xfId="49" applyNumberFormat="1" applyFont="1" applyBorder="1" applyAlignment="1">
      <alignment vertical="center"/>
    </xf>
    <xf numFmtId="180" fontId="46" fillId="0" borderId="15" xfId="49" applyNumberFormat="1" applyFont="1" applyBorder="1" applyAlignment="1">
      <alignment vertical="center"/>
    </xf>
    <xf numFmtId="0" fontId="44" fillId="10" borderId="12" xfId="0" applyFont="1" applyFill="1" applyBorder="1" applyAlignment="1">
      <alignment horizontal="center" vertical="center"/>
    </xf>
    <xf numFmtId="177" fontId="44" fillId="0" borderId="17" xfId="0" applyNumberFormat="1" applyFont="1" applyBorder="1" applyAlignment="1">
      <alignment vertical="center"/>
    </xf>
    <xf numFmtId="177" fontId="44" fillId="0" borderId="15" xfId="0" applyNumberFormat="1" applyFont="1" applyBorder="1" applyAlignment="1">
      <alignment vertical="center"/>
    </xf>
    <xf numFmtId="189" fontId="47" fillId="34" borderId="12" xfId="49" applyNumberFormat="1" applyFont="1" applyFill="1" applyBorder="1" applyAlignment="1">
      <alignment horizontal="center" vertical="center"/>
    </xf>
    <xf numFmtId="189" fontId="46" fillId="0" borderId="12" xfId="49" applyNumberFormat="1" applyFont="1" applyBorder="1" applyAlignment="1">
      <alignment horizontal="center" vertical="center"/>
    </xf>
    <xf numFmtId="0" fontId="44" fillId="7" borderId="13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/>
    </xf>
    <xf numFmtId="180" fontId="46" fillId="0" borderId="12" xfId="49" applyNumberFormat="1" applyFont="1" applyBorder="1" applyAlignment="1">
      <alignment vertical="center"/>
    </xf>
    <xf numFmtId="0" fontId="44" fillId="10" borderId="13" xfId="0" applyFont="1" applyFill="1" applyBorder="1" applyAlignment="1">
      <alignment horizontal="center" vertical="center"/>
    </xf>
    <xf numFmtId="0" fontId="44" fillId="10" borderId="11" xfId="0" applyFont="1" applyFill="1" applyBorder="1" applyAlignment="1">
      <alignment horizontal="center" vertical="center"/>
    </xf>
    <xf numFmtId="0" fontId="44" fillId="1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123825</xdr:rowOff>
    </xdr:from>
    <xdr:to>
      <xdr:col>22</xdr:col>
      <xdr:colOff>171450</xdr:colOff>
      <xdr:row>18</xdr:row>
      <xdr:rowOff>142875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23825"/>
          <a:ext cx="478155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0</xdr:row>
      <xdr:rowOff>123825</xdr:rowOff>
    </xdr:from>
    <xdr:to>
      <xdr:col>22</xdr:col>
      <xdr:colOff>171450</xdr:colOff>
      <xdr:row>18</xdr:row>
      <xdr:rowOff>142875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23825"/>
          <a:ext cx="478155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123825</xdr:rowOff>
    </xdr:from>
    <xdr:to>
      <xdr:col>22</xdr:col>
      <xdr:colOff>171450</xdr:colOff>
      <xdr:row>18</xdr:row>
      <xdr:rowOff>142875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23825"/>
          <a:ext cx="478155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2"/>
  <sheetViews>
    <sheetView showGridLines="0" tabSelected="1" view="pageBreakPreview" zoomScale="110" zoomScaleSheetLayoutView="110" zoomScalePageLayoutView="0" workbookViewId="0" topLeftCell="A7">
      <selection activeCell="A9" sqref="A9"/>
    </sheetView>
  </sheetViews>
  <sheetFormatPr defaultColWidth="9.140625" defaultRowHeight="17.25" customHeight="1"/>
  <cols>
    <col min="1" max="1" width="9.00390625" style="1" customWidth="1"/>
    <col min="2" max="2" width="7.57421875" style="1" customWidth="1"/>
    <col min="3" max="3" width="4.57421875" style="1" customWidth="1"/>
    <col min="4" max="5" width="3.57421875" style="1" customWidth="1"/>
    <col min="6" max="11" width="7.57421875" style="1" customWidth="1"/>
    <col min="12" max="13" width="10.57421875" style="1" customWidth="1"/>
    <col min="14" max="15" width="6.57421875" style="1" customWidth="1"/>
    <col min="16" max="16" width="3.57421875" style="1" customWidth="1"/>
    <col min="17" max="17" width="9.00390625" style="1" customWidth="1"/>
    <col min="18" max="23" width="10.57421875" style="1" customWidth="1"/>
    <col min="24" max="16384" width="9.00390625" style="1" customWidth="1"/>
  </cols>
  <sheetData>
    <row r="1" spans="2:14" ht="17.25" customHeight="1">
      <c r="B1" s="1" t="s">
        <v>38</v>
      </c>
      <c r="J1" s="6" t="s">
        <v>102</v>
      </c>
      <c r="K1" s="5"/>
      <c r="L1" s="5"/>
      <c r="M1" s="36"/>
      <c r="N1" s="36"/>
    </row>
    <row r="2" spans="1:14" ht="17.25" customHeight="1">
      <c r="A2" s="1" t="s">
        <v>0</v>
      </c>
      <c r="B2" s="38" t="s">
        <v>51</v>
      </c>
      <c r="C2" s="38" t="s">
        <v>103</v>
      </c>
      <c r="D2" s="38"/>
      <c r="E2" s="38"/>
      <c r="F2" s="3"/>
      <c r="G2" s="3"/>
      <c r="H2" s="3"/>
      <c r="J2" s="4" t="s">
        <v>95</v>
      </c>
      <c r="K2" s="5"/>
      <c r="L2" s="5"/>
      <c r="M2" s="36"/>
      <c r="N2" s="36"/>
    </row>
    <row r="3" spans="2:14" ht="17.25" customHeight="1">
      <c r="B3" s="4" t="s">
        <v>52</v>
      </c>
      <c r="C3" s="4"/>
      <c r="D3" s="5"/>
      <c r="E3" s="5"/>
      <c r="F3" s="4" t="s">
        <v>37</v>
      </c>
      <c r="G3" s="4"/>
      <c r="H3" s="4"/>
      <c r="J3" s="4" t="s">
        <v>96</v>
      </c>
      <c r="K3" s="5"/>
      <c r="L3" s="5"/>
      <c r="M3" s="66"/>
      <c r="N3" s="66"/>
    </row>
    <row r="4" spans="2:14" ht="17.25" customHeight="1">
      <c r="B4" s="4" t="s">
        <v>50</v>
      </c>
      <c r="C4" s="6"/>
      <c r="D4" s="5"/>
      <c r="E4" s="5"/>
      <c r="F4" s="4"/>
      <c r="G4" s="4"/>
      <c r="H4" s="4"/>
      <c r="J4" s="4" t="s">
        <v>97</v>
      </c>
      <c r="K4" s="5"/>
      <c r="L4" s="5"/>
      <c r="M4" s="66"/>
      <c r="N4" s="66"/>
    </row>
    <row r="5" spans="2:14" ht="17.25" customHeight="1">
      <c r="B5" s="7" t="s">
        <v>92</v>
      </c>
      <c r="C5" s="5"/>
      <c r="D5" s="5"/>
      <c r="E5" s="5"/>
      <c r="F5" s="7" t="s">
        <v>48</v>
      </c>
      <c r="G5" s="4"/>
      <c r="H5" s="4"/>
      <c r="J5" s="4" t="s">
        <v>65</v>
      </c>
      <c r="K5" s="5"/>
      <c r="L5" s="5"/>
      <c r="M5" s="66"/>
      <c r="N5" s="66"/>
    </row>
    <row r="6" spans="2:14" ht="17.25" customHeight="1">
      <c r="B6" s="4" t="s">
        <v>93</v>
      </c>
      <c r="C6" s="5"/>
      <c r="D6" s="5"/>
      <c r="E6" s="5"/>
      <c r="F6" s="4"/>
      <c r="G6" s="4"/>
      <c r="H6" s="4"/>
      <c r="J6" s="6" t="s">
        <v>98</v>
      </c>
      <c r="K6" s="5"/>
      <c r="L6" s="5"/>
      <c r="M6" s="66"/>
      <c r="N6" s="66"/>
    </row>
    <row r="7" spans="2:14" ht="17.25" customHeight="1">
      <c r="B7" s="4" t="s">
        <v>94</v>
      </c>
      <c r="C7" s="5"/>
      <c r="D7" s="5"/>
      <c r="E7" s="5"/>
      <c r="F7" s="4"/>
      <c r="G7" s="4"/>
      <c r="H7" s="4"/>
      <c r="J7" s="4" t="s">
        <v>99</v>
      </c>
      <c r="K7" s="5"/>
      <c r="L7" s="5"/>
      <c r="M7" s="66"/>
      <c r="N7" s="66"/>
    </row>
    <row r="8" spans="2:14" ht="17.25" customHeight="1">
      <c r="B8" s="4" t="s">
        <v>101</v>
      </c>
      <c r="C8" s="5"/>
      <c r="D8" s="5"/>
      <c r="E8" s="5"/>
      <c r="J8" s="4" t="s">
        <v>100</v>
      </c>
      <c r="K8" s="5"/>
      <c r="L8" s="5"/>
      <c r="M8" s="66"/>
      <c r="N8" s="66"/>
    </row>
    <row r="9" spans="1:14" ht="17.25" customHeight="1">
      <c r="A9" s="171" t="s">
        <v>53</v>
      </c>
      <c r="B9" s="6" t="s">
        <v>36</v>
      </c>
      <c r="C9" s="5"/>
      <c r="D9" s="5"/>
      <c r="E9" s="5"/>
      <c r="F9" s="1" t="s">
        <v>152</v>
      </c>
      <c r="M9" s="66"/>
      <c r="N9" s="66"/>
    </row>
    <row r="10" spans="1:14" ht="17.25" customHeight="1">
      <c r="A10" s="69" t="s">
        <v>1</v>
      </c>
      <c r="B10" s="69" t="s">
        <v>2</v>
      </c>
      <c r="C10" s="167" t="s">
        <v>137</v>
      </c>
      <c r="D10" s="168"/>
      <c r="E10" s="169"/>
      <c r="F10" s="69" t="s">
        <v>3</v>
      </c>
      <c r="G10" s="69" t="s">
        <v>35</v>
      </c>
      <c r="H10" s="69" t="s">
        <v>49</v>
      </c>
      <c r="I10" s="69" t="s">
        <v>47</v>
      </c>
      <c r="J10" s="69" t="s">
        <v>111</v>
      </c>
      <c r="K10" s="69" t="s">
        <v>109</v>
      </c>
      <c r="L10" s="69" t="s">
        <v>110</v>
      </c>
      <c r="M10" s="99" t="s">
        <v>143</v>
      </c>
      <c r="N10" s="144"/>
    </row>
    <row r="11" spans="1:14" ht="17.25" customHeight="1">
      <c r="A11" s="106">
        <v>240</v>
      </c>
      <c r="B11" s="106">
        <v>450</v>
      </c>
      <c r="C11" s="107">
        <v>31</v>
      </c>
      <c r="D11" s="107">
        <v>19</v>
      </c>
      <c r="E11" s="107">
        <v>28</v>
      </c>
      <c r="F11" s="70">
        <f>A11^2/B11</f>
        <v>128</v>
      </c>
      <c r="G11" s="8">
        <f>A11^2/2/B11^2</f>
        <v>0.14222222222222222</v>
      </c>
      <c r="H11" s="9">
        <f>I15-H13</f>
        <v>64.65300000000002</v>
      </c>
      <c r="I11" s="10">
        <f>ATAN(G13/F13)</f>
        <v>0.04739639039298846</v>
      </c>
      <c r="J11" s="108">
        <v>39.365</v>
      </c>
      <c r="K11" s="109">
        <v>40</v>
      </c>
      <c r="L11" s="110">
        <v>20</v>
      </c>
      <c r="M11" s="9">
        <f>ROUND(I13*TAN(L13/2)+H13,3)</f>
        <v>190.551</v>
      </c>
      <c r="N11" s="35"/>
    </row>
    <row r="12" spans="1:12" ht="17.25" customHeight="1">
      <c r="A12" s="69" t="s">
        <v>39</v>
      </c>
      <c r="B12" s="69" t="s">
        <v>8</v>
      </c>
      <c r="C12" s="167" t="s">
        <v>42</v>
      </c>
      <c r="D12" s="168"/>
      <c r="E12" s="169"/>
      <c r="F12" s="69" t="s">
        <v>90</v>
      </c>
      <c r="G12" s="69" t="s">
        <v>91</v>
      </c>
      <c r="H12" s="69" t="s">
        <v>15</v>
      </c>
      <c r="I12" s="69" t="s">
        <v>19</v>
      </c>
      <c r="J12" s="69" t="s">
        <v>12</v>
      </c>
      <c r="K12" s="28" t="s">
        <v>16</v>
      </c>
      <c r="L12" s="69" t="s">
        <v>141</v>
      </c>
    </row>
    <row r="13" spans="1:12" ht="17.25" customHeight="1">
      <c r="A13" s="8">
        <f>PI()/180</f>
        <v>0.017453292519943295</v>
      </c>
      <c r="B13" s="8">
        <f>I11*A15</f>
        <v>2.71561313367264</v>
      </c>
      <c r="C13" s="13">
        <f>TRUNC(I11*180/PI())</f>
        <v>2</v>
      </c>
      <c r="D13" s="14">
        <f>TRUNC((I11*180/PI()-C13)*60)</f>
        <v>42</v>
      </c>
      <c r="E13" s="15">
        <f>TRUNC(((I11*180/PI()-C13)*60-D13)*60)</f>
        <v>56</v>
      </c>
      <c r="F13" s="9">
        <f>ROUND(F11*(1-F11^2/40/$B$11^2+F11^4/3456/$B$11^4-F11^6/599040/$B$11^6),3)</f>
        <v>127.741</v>
      </c>
      <c r="G13" s="9">
        <f>ROUND(F11^2/6/$B$11*(1-F11^2/56/$B$11^2+F11^4/7040/$B$11^4-F11^6/1612800/$B$11^6),3)</f>
        <v>6.059</v>
      </c>
      <c r="H13" s="11">
        <f>ROUND(F13-B11*SIN(B15*A13),3)</f>
        <v>63.957</v>
      </c>
      <c r="I13" s="9">
        <f>B11+J13</f>
        <v>451.516</v>
      </c>
      <c r="J13" s="11">
        <f>ROUND(G13+B11*COS(G11)-B11,3)</f>
        <v>1.516</v>
      </c>
      <c r="K13" s="11">
        <f>ROUND(G13*1/SIN(G11),3)</f>
        <v>42.746</v>
      </c>
      <c r="L13" s="8">
        <f>L15*A13</f>
        <v>0.5467146919136016</v>
      </c>
    </row>
    <row r="14" spans="1:12" ht="17.25" customHeight="1">
      <c r="A14" s="69" t="s">
        <v>40</v>
      </c>
      <c r="B14" s="69" t="s">
        <v>9</v>
      </c>
      <c r="C14" s="167" t="s">
        <v>42</v>
      </c>
      <c r="D14" s="168"/>
      <c r="E14" s="169"/>
      <c r="F14" s="69" t="s">
        <v>13</v>
      </c>
      <c r="G14" s="69" t="s">
        <v>14</v>
      </c>
      <c r="H14" s="69" t="s">
        <v>17</v>
      </c>
      <c r="I14" s="69" t="s">
        <v>18</v>
      </c>
      <c r="J14" s="69" t="s">
        <v>20</v>
      </c>
      <c r="K14" s="69" t="s">
        <v>21</v>
      </c>
      <c r="L14" s="69" t="s">
        <v>105</v>
      </c>
    </row>
    <row r="15" spans="1:12" ht="17.25" customHeight="1">
      <c r="A15" s="16">
        <f>180/PI()</f>
        <v>57.29577951308232</v>
      </c>
      <c r="B15" s="8">
        <f>G11*A15</f>
        <v>8.148733086305041</v>
      </c>
      <c r="C15" s="17">
        <f>TRUNC(G11*180/PI())</f>
        <v>8</v>
      </c>
      <c r="D15" s="4">
        <f>TRUNC((G11*A15-C15)*60)</f>
        <v>8</v>
      </c>
      <c r="E15" s="18">
        <f>TRUNC(((G11*A15-C15)*60-D15)*60)</f>
        <v>55</v>
      </c>
      <c r="F15" s="11">
        <f>ROUND(F13-G13*1/TAN(G11),3)</f>
        <v>85.426</v>
      </c>
      <c r="G15" s="11">
        <f>ROUND(G13/SIN(I11),3)</f>
        <v>127.885</v>
      </c>
      <c r="H15" s="11">
        <f>ROUND(I13/COS(G11)-B11,3)</f>
        <v>6.121</v>
      </c>
      <c r="I15" s="9">
        <f>ROUND(F13+SQRT(H15^2-G13^2),3)</f>
        <v>128.61</v>
      </c>
      <c r="J15" s="11">
        <f>F13-F15</f>
        <v>42.315</v>
      </c>
      <c r="K15" s="11">
        <f>I15-F13</f>
        <v>0.869000000000014</v>
      </c>
      <c r="L15" s="10">
        <f>C11+(D11/100/0.6)+(E11/10000/0.36)</f>
        <v>31.324444444444445</v>
      </c>
    </row>
    <row r="16" spans="1:12" ht="17.25" customHeight="1">
      <c r="A16" s="118"/>
      <c r="B16" s="119"/>
      <c r="C16" s="4"/>
      <c r="D16" s="4"/>
      <c r="E16" s="4"/>
      <c r="F16" s="4"/>
      <c r="G16" s="4"/>
      <c r="H16" s="4"/>
      <c r="I16" s="120"/>
      <c r="J16" s="4"/>
      <c r="K16" s="4"/>
      <c r="L16" s="121"/>
    </row>
    <row r="17" spans="1:12" ht="17.25" customHeight="1">
      <c r="A17" s="96" t="s">
        <v>118</v>
      </c>
      <c r="B17" s="27" t="s">
        <v>64</v>
      </c>
      <c r="C17" s="163" t="s">
        <v>42</v>
      </c>
      <c r="D17" s="164"/>
      <c r="E17" s="165"/>
      <c r="F17" s="27" t="s">
        <v>54</v>
      </c>
      <c r="G17" s="161">
        <v>-37391.385</v>
      </c>
      <c r="H17" s="161"/>
      <c r="I17" s="27" t="s">
        <v>56</v>
      </c>
      <c r="J17" s="161">
        <v>-37521.171</v>
      </c>
      <c r="K17" s="161"/>
      <c r="L17" s="26"/>
    </row>
    <row r="18" spans="1:11" ht="17.25" customHeight="1">
      <c r="A18" s="1" t="s">
        <v>28</v>
      </c>
      <c r="B18" s="8">
        <f>IF(H20&lt;0,PI()+H20+PI(),H20)</f>
        <v>2.320072609744214</v>
      </c>
      <c r="C18" s="17">
        <f>TRUNC(B18*$A$15)</f>
        <v>132</v>
      </c>
      <c r="D18" s="4">
        <f>TRUNC((B18*$A$15-C18)*60)</f>
        <v>55</v>
      </c>
      <c r="E18" s="18">
        <f>TRUNC(((B18*$A$15-C18)*60-D18)*60)</f>
        <v>49</v>
      </c>
      <c r="F18" s="27" t="s">
        <v>55</v>
      </c>
      <c r="G18" s="161">
        <v>16015.719</v>
      </c>
      <c r="H18" s="161"/>
      <c r="I18" s="27" t="s">
        <v>57</v>
      </c>
      <c r="J18" s="161">
        <v>16155.237</v>
      </c>
      <c r="K18" s="161"/>
    </row>
    <row r="19" spans="1:23" ht="17.25" customHeight="1">
      <c r="A19" s="51" t="s">
        <v>62</v>
      </c>
      <c r="B19" s="117">
        <v>1</v>
      </c>
      <c r="C19" s="19"/>
      <c r="D19" s="19"/>
      <c r="E19" s="2"/>
      <c r="F19" s="29" t="s">
        <v>60</v>
      </c>
      <c r="G19" s="29" t="s">
        <v>61</v>
      </c>
      <c r="H19" s="29" t="s">
        <v>58</v>
      </c>
      <c r="I19" s="29" t="s">
        <v>59</v>
      </c>
      <c r="J19" s="29" t="s">
        <v>64</v>
      </c>
      <c r="L19" s="1" t="s">
        <v>153</v>
      </c>
      <c r="Q19" s="170" t="s">
        <v>66</v>
      </c>
      <c r="R19" s="170"/>
      <c r="S19" s="170"/>
      <c r="T19" s="48"/>
      <c r="U19"/>
      <c r="V19" s="46"/>
      <c r="W19" s="46"/>
    </row>
    <row r="20" spans="1:23" ht="17.25" customHeight="1">
      <c r="A20" s="1" t="s">
        <v>119</v>
      </c>
      <c r="B20" s="1" t="s">
        <v>45</v>
      </c>
      <c r="F20" s="9">
        <f>J17-G17</f>
        <v>-129.78600000000006</v>
      </c>
      <c r="G20" s="9">
        <f>J18-G18</f>
        <v>139.51800000000003</v>
      </c>
      <c r="H20" s="8">
        <f>IF(G20&gt;0,PI()+ATAN(G20/F20),ATAN(G20/F20))</f>
        <v>2.320072609744214</v>
      </c>
      <c r="I20" s="9">
        <f>SQRT(F20^2+G20^2)</f>
        <v>190.55098561802305</v>
      </c>
      <c r="J20" s="8">
        <f>H20*$A$15</f>
        <v>132.93036870224597</v>
      </c>
      <c r="K20" s="12"/>
      <c r="L20" s="1" t="s">
        <v>154</v>
      </c>
      <c r="Q20" s="68" t="s">
        <v>67</v>
      </c>
      <c r="R20" s="40" t="s">
        <v>79</v>
      </c>
      <c r="S20" s="40" t="s">
        <v>83</v>
      </c>
      <c r="T20" s="46"/>
      <c r="W20" s="46"/>
    </row>
    <row r="21" spans="1:23" ht="17.25" customHeight="1">
      <c r="A21" s="69" t="s">
        <v>30</v>
      </c>
      <c r="B21" s="69" t="s">
        <v>8</v>
      </c>
      <c r="C21" s="158" t="s">
        <v>42</v>
      </c>
      <c r="D21" s="158"/>
      <c r="E21" s="158"/>
      <c r="F21" s="69" t="s">
        <v>44</v>
      </c>
      <c r="G21" s="69" t="s">
        <v>2</v>
      </c>
      <c r="H21" s="69" t="s">
        <v>47</v>
      </c>
      <c r="I21" s="28" t="s">
        <v>90</v>
      </c>
      <c r="J21" s="28" t="s">
        <v>91</v>
      </c>
      <c r="K21" s="52" t="s">
        <v>63</v>
      </c>
      <c r="L21" s="29" t="s">
        <v>10</v>
      </c>
      <c r="M21" s="29" t="s">
        <v>11</v>
      </c>
      <c r="N21" s="145"/>
      <c r="Q21" s="68" t="s">
        <v>5</v>
      </c>
      <c r="R21" s="41" t="s">
        <v>80</v>
      </c>
      <c r="S21" s="68" t="s">
        <v>84</v>
      </c>
      <c r="T21" s="46"/>
      <c r="W21" s="46"/>
    </row>
    <row r="22" spans="1:23" ht="17.25" customHeight="1">
      <c r="A22" s="76">
        <f>IF(K11-J11&gt;$F$11,"",IF(K11-J11=$F$11,$F$11,K11-J11))</f>
        <v>0.634999999999998</v>
      </c>
      <c r="B22" s="8">
        <f aca="true" t="shared" si="0" ref="B22:B29">IF(A22&gt;$F$11,"",(H22*$A$15))</f>
        <v>0</v>
      </c>
      <c r="C22" s="20">
        <f aca="true" t="shared" si="1" ref="C22:C29">IF(A22&gt;$F$11,"",INT(B22))</f>
        <v>0</v>
      </c>
      <c r="D22" s="21">
        <f aca="true" t="shared" si="2" ref="D22:D29">IF(A22&gt;$F$11,"",TRUNC((H22*$A$15-C22)*60))</f>
        <v>0</v>
      </c>
      <c r="E22" s="22">
        <f aca="true" t="shared" si="3" ref="E22:E29">IF(A22&gt;$F$11,"",TRUNC(((H22*$A$15-C22)*60-D22)*60))</f>
        <v>0</v>
      </c>
      <c r="F22" s="23">
        <f>IF(A22&gt;$F$11,"",IF(ISERROR(ROUND(J22/SIN(H22),3)),A22,ROUND(J22/SIN(H22),3)))</f>
        <v>0.634999999999998</v>
      </c>
      <c r="G22" s="49">
        <f aca="true" t="shared" si="4" ref="G22:G29">IF(A22&gt;$F$11,"",$A$11^2/A22)</f>
        <v>90708.66141732312</v>
      </c>
      <c r="H22" s="8">
        <f aca="true" t="shared" si="5" ref="H22:H29">IF(A22&gt;$F$11,"",ATAN(J22/I22))</f>
        <v>0</v>
      </c>
      <c r="I22" s="9">
        <f aca="true" t="shared" si="6" ref="I22:I29">IF(A22&gt;$F$11,"",ROUND(A22*(1-A22^2/40/G22^2+A22^4/3456/G22^4-A22^6/599040/G22^6),3))</f>
        <v>0.635</v>
      </c>
      <c r="J22" s="9">
        <f aca="true" t="shared" si="7" ref="J22:J29">IF(A22&gt;$F$11,"",ROUND(A22^2/6/G22*(1-A22^2/56/G22^2+A22^4/7040/G22^4-A22^6/1612800/G22^6),3))</f>
        <v>0</v>
      </c>
      <c r="K22" s="50">
        <f aca="true" t="shared" si="8" ref="K22:K29">IF(A22&gt;$F$11,"",IF($B$19=0,($B$18-H22),IF($B$19=1,($B$18+H22),"")))</f>
        <v>2.320072609744214</v>
      </c>
      <c r="L22" s="30">
        <f aca="true" t="shared" si="9" ref="L22:L29">IF(A22&gt;$F$11,"",$G$17+F22*COS(K22))</f>
        <v>-37391.817504244114</v>
      </c>
      <c r="M22" s="30">
        <f aca="true" t="shared" si="10" ref="M22:M29">IF(A22&gt;$F$11,"",$G$18+F22*SIN(K22))</f>
        <v>16016.183935564162</v>
      </c>
      <c r="N22" s="37"/>
      <c r="O22" s="26"/>
      <c r="Q22" s="68" t="s">
        <v>2</v>
      </c>
      <c r="R22" s="42">
        <v>450</v>
      </c>
      <c r="S22" s="42">
        <v>320</v>
      </c>
      <c r="T22" s="46"/>
      <c r="W22" s="46"/>
    </row>
    <row r="23" spans="1:23" ht="17.25" customHeight="1">
      <c r="A23" s="76">
        <f>IF(A22="","",IF(A22+$L$11&gt;$F$11,"",IF(A22+$L$11=$F$11,$F$11,A22+$L$11)))</f>
        <v>20.634999999999998</v>
      </c>
      <c r="B23" s="8">
        <f t="shared" si="0"/>
        <v>0.0694157396170604</v>
      </c>
      <c r="C23" s="20">
        <f t="shared" si="1"/>
        <v>0</v>
      </c>
      <c r="D23" s="21">
        <f t="shared" si="2"/>
        <v>4</v>
      </c>
      <c r="E23" s="22">
        <f t="shared" si="3"/>
        <v>9</v>
      </c>
      <c r="F23" s="23">
        <f aca="true" t="shared" si="11" ref="F23:F29">IF(A23&gt;$F$11,"",IF(ISERROR(ROUND(J23/SIN(H23),3)),A23,ROUND(J23/SIN(H23),3)))</f>
        <v>20.635</v>
      </c>
      <c r="G23" s="49">
        <f t="shared" si="4"/>
        <v>2791.3738793312336</v>
      </c>
      <c r="H23" s="8">
        <f t="shared" si="5"/>
        <v>0.0012115332090247718</v>
      </c>
      <c r="I23" s="9">
        <f t="shared" si="6"/>
        <v>20.635</v>
      </c>
      <c r="J23" s="9">
        <f t="shared" si="7"/>
        <v>0.025</v>
      </c>
      <c r="K23" s="50">
        <f t="shared" si="8"/>
        <v>2.3212841429532385</v>
      </c>
      <c r="L23" s="30">
        <f t="shared" si="9"/>
        <v>-37405.45797938263</v>
      </c>
      <c r="M23" s="30">
        <f t="shared" si="10"/>
        <v>16030.81053657837</v>
      </c>
      <c r="N23" s="37"/>
      <c r="O23" s="26"/>
      <c r="Q23" s="68" t="s">
        <v>1</v>
      </c>
      <c r="R23" s="42">
        <v>240</v>
      </c>
      <c r="S23" s="42">
        <v>160</v>
      </c>
      <c r="T23" s="46"/>
      <c r="W23" s="46"/>
    </row>
    <row r="24" spans="1:23" ht="17.25" customHeight="1">
      <c r="A24" s="76">
        <f aca="true" t="shared" si="12" ref="A24:A29">IF(A23="","",IF(A23+$L$11&gt;$F$11,"",IF(A23+$L$11=$F$11,$F$11,A23+$L$11)))</f>
        <v>40.635</v>
      </c>
      <c r="B24" s="8">
        <f t="shared" si="0"/>
        <v>0.2735467040235913</v>
      </c>
      <c r="C24" s="20">
        <f t="shared" si="1"/>
        <v>0</v>
      </c>
      <c r="D24" s="21">
        <f t="shared" si="2"/>
        <v>16</v>
      </c>
      <c r="E24" s="22">
        <f t="shared" si="3"/>
        <v>24</v>
      </c>
      <c r="F24" s="23">
        <f t="shared" si="11"/>
        <v>40.634</v>
      </c>
      <c r="G24" s="49">
        <f t="shared" si="4"/>
        <v>1417.49723145072</v>
      </c>
      <c r="H24" s="8">
        <f t="shared" si="5"/>
        <v>0.0047742906431900885</v>
      </c>
      <c r="I24" s="9">
        <f t="shared" si="6"/>
        <v>40.634</v>
      </c>
      <c r="J24" s="9">
        <f t="shared" si="7"/>
        <v>0.194</v>
      </c>
      <c r="K24" s="50">
        <f t="shared" si="8"/>
        <v>2.324846900387404</v>
      </c>
      <c r="L24" s="30">
        <f t="shared" si="9"/>
        <v>-37419.202911233595</v>
      </c>
      <c r="M24" s="30">
        <f t="shared" si="10"/>
        <v>16045.338010290685</v>
      </c>
      <c r="N24" s="37"/>
      <c r="O24" s="26"/>
      <c r="Q24" s="68" t="s">
        <v>3</v>
      </c>
      <c r="R24" s="43">
        <v>128</v>
      </c>
      <c r="S24" s="43">
        <v>80</v>
      </c>
      <c r="T24" s="46"/>
      <c r="W24" s="46"/>
    </row>
    <row r="25" spans="1:23" ht="17.25" customHeight="1">
      <c r="A25" s="76">
        <f t="shared" si="12"/>
        <v>60.635</v>
      </c>
      <c r="B25" s="8">
        <f t="shared" si="0"/>
        <v>0.609516628970194</v>
      </c>
      <c r="C25" s="20">
        <f t="shared" si="1"/>
        <v>0</v>
      </c>
      <c r="D25" s="21">
        <f t="shared" si="2"/>
        <v>36</v>
      </c>
      <c r="E25" s="22">
        <f t="shared" si="3"/>
        <v>34</v>
      </c>
      <c r="F25" s="23">
        <f t="shared" si="11"/>
        <v>60.632</v>
      </c>
      <c r="G25" s="49">
        <f t="shared" si="4"/>
        <v>949.9464005937165</v>
      </c>
      <c r="H25" s="8">
        <f t="shared" si="5"/>
        <v>0.010638072021186539</v>
      </c>
      <c r="I25" s="9">
        <f t="shared" si="6"/>
        <v>60.629</v>
      </c>
      <c r="J25" s="9">
        <f t="shared" si="7"/>
        <v>0.645</v>
      </c>
      <c r="K25" s="50">
        <f t="shared" si="8"/>
        <v>2.3307106817654004</v>
      </c>
      <c r="L25" s="30">
        <f t="shared" si="9"/>
        <v>-37433.15192095699</v>
      </c>
      <c r="M25" s="30">
        <f t="shared" si="10"/>
        <v>16059.670834293609</v>
      </c>
      <c r="N25" s="37"/>
      <c r="O25" s="26"/>
      <c r="Q25" s="68" t="s">
        <v>9</v>
      </c>
      <c r="R25" s="68" t="s">
        <v>81</v>
      </c>
      <c r="S25" s="68" t="s">
        <v>85</v>
      </c>
      <c r="T25" s="46"/>
      <c r="W25" s="46"/>
    </row>
    <row r="26" spans="1:23" ht="17.25" customHeight="1">
      <c r="A26" s="76">
        <f t="shared" si="12"/>
        <v>80.63499999999999</v>
      </c>
      <c r="B26" s="8">
        <f t="shared" si="0"/>
        <v>1.0781356755323301</v>
      </c>
      <c r="C26" s="20">
        <f t="shared" si="1"/>
        <v>1</v>
      </c>
      <c r="D26" s="21">
        <f t="shared" si="2"/>
        <v>4</v>
      </c>
      <c r="E26" s="22">
        <f t="shared" si="3"/>
        <v>41</v>
      </c>
      <c r="F26" s="23">
        <f t="shared" si="11"/>
        <v>80.623</v>
      </c>
      <c r="G26" s="49">
        <f t="shared" si="4"/>
        <v>714.3300055807033</v>
      </c>
      <c r="H26" s="8">
        <f t="shared" si="5"/>
        <v>0.01881701732125243</v>
      </c>
      <c r="I26" s="9">
        <f t="shared" si="6"/>
        <v>80.609</v>
      </c>
      <c r="J26" s="9">
        <f t="shared" si="7"/>
        <v>1.517</v>
      </c>
      <c r="K26" s="50">
        <f t="shared" si="8"/>
        <v>2.338889627065466</v>
      </c>
      <c r="L26" s="30">
        <f t="shared" si="9"/>
        <v>-37447.39904939659</v>
      </c>
      <c r="M26" s="30">
        <f t="shared" si="10"/>
        <v>16073.706019230141</v>
      </c>
      <c r="N26" s="37"/>
      <c r="O26" s="26"/>
      <c r="Q26" s="68" t="s">
        <v>68</v>
      </c>
      <c r="R26" s="42">
        <v>42.749</v>
      </c>
      <c r="S26" s="42">
        <v>26.706</v>
      </c>
      <c r="T26" s="46"/>
      <c r="W26" s="46"/>
    </row>
    <row r="27" spans="1:23" ht="17.25" customHeight="1">
      <c r="A27" s="76">
        <f t="shared" si="12"/>
        <v>100.63499999999999</v>
      </c>
      <c r="B27" s="8">
        <f t="shared" si="0"/>
        <v>1.67867324950278</v>
      </c>
      <c r="C27" s="20">
        <f t="shared" si="1"/>
        <v>1</v>
      </c>
      <c r="D27" s="21">
        <f t="shared" si="2"/>
        <v>40</v>
      </c>
      <c r="E27" s="22">
        <f t="shared" si="3"/>
        <v>43</v>
      </c>
      <c r="F27" s="23">
        <f t="shared" si="11"/>
        <v>100.6</v>
      </c>
      <c r="G27" s="49">
        <f t="shared" si="4"/>
        <v>572.3654792070354</v>
      </c>
      <c r="H27" s="8">
        <f t="shared" si="5"/>
        <v>0.029298375268975777</v>
      </c>
      <c r="I27" s="9">
        <f t="shared" si="6"/>
        <v>100.557</v>
      </c>
      <c r="J27" s="9">
        <f t="shared" si="7"/>
        <v>2.947</v>
      </c>
      <c r="K27" s="50">
        <f t="shared" si="8"/>
        <v>2.3493709850131896</v>
      </c>
      <c r="L27" s="30">
        <f t="shared" si="9"/>
        <v>-37462.03290028461</v>
      </c>
      <c r="M27" s="30">
        <f t="shared" si="10"/>
        <v>16087.33767204421</v>
      </c>
      <c r="N27" s="37"/>
      <c r="O27" s="26"/>
      <c r="Q27" s="68" t="s">
        <v>69</v>
      </c>
      <c r="R27" s="42">
        <v>85.424</v>
      </c>
      <c r="S27" s="42">
        <v>53.377</v>
      </c>
      <c r="T27" s="46"/>
      <c r="W27" s="46"/>
    </row>
    <row r="28" spans="1:23" ht="17.25" customHeight="1">
      <c r="A28" s="76">
        <f t="shared" si="12"/>
        <v>120.63499999999999</v>
      </c>
      <c r="B28" s="8">
        <f t="shared" si="0"/>
        <v>2.412319383651901</v>
      </c>
      <c r="C28" s="20">
        <f t="shared" si="1"/>
        <v>2</v>
      </c>
      <c r="D28" s="21">
        <f t="shared" si="2"/>
        <v>24</v>
      </c>
      <c r="E28" s="22">
        <f t="shared" si="3"/>
        <v>44</v>
      </c>
      <c r="F28" s="23">
        <f t="shared" si="11"/>
        <v>120.55</v>
      </c>
      <c r="G28" s="49">
        <f t="shared" si="4"/>
        <v>477.4733700833092</v>
      </c>
      <c r="H28" s="8">
        <f t="shared" si="5"/>
        <v>0.042102915854405946</v>
      </c>
      <c r="I28" s="9">
        <f t="shared" si="6"/>
        <v>120.443</v>
      </c>
      <c r="J28" s="9">
        <f t="shared" si="7"/>
        <v>5.074</v>
      </c>
      <c r="K28" s="50">
        <f t="shared" si="8"/>
        <v>2.36217552559862</v>
      </c>
      <c r="L28" s="30">
        <f t="shared" si="9"/>
        <v>-37477.13502853021</v>
      </c>
      <c r="M28" s="30">
        <f t="shared" si="10"/>
        <v>16100.44936708919</v>
      </c>
      <c r="N28" s="37"/>
      <c r="O28" s="26"/>
      <c r="Q28" s="68" t="s">
        <v>70</v>
      </c>
      <c r="R28" s="42">
        <v>190.551</v>
      </c>
      <c r="S28" s="42">
        <v>125.257</v>
      </c>
      <c r="T28" s="46"/>
      <c r="W28" s="46"/>
    </row>
    <row r="29" spans="1:23" ht="17.25" customHeight="1">
      <c r="A29" s="76">
        <f t="shared" si="12"/>
      </c>
      <c r="B29" s="8">
        <f t="shared" si="0"/>
      </c>
      <c r="C29" s="20">
        <f t="shared" si="1"/>
      </c>
      <c r="D29" s="21">
        <f t="shared" si="2"/>
      </c>
      <c r="E29" s="22">
        <f t="shared" si="3"/>
      </c>
      <c r="F29" s="23">
        <f t="shared" si="11"/>
      </c>
      <c r="G29" s="49">
        <f t="shared" si="4"/>
      </c>
      <c r="H29" s="8">
        <f t="shared" si="5"/>
      </c>
      <c r="I29" s="9">
        <f t="shared" si="6"/>
      </c>
      <c r="J29" s="9">
        <f t="shared" si="7"/>
      </c>
      <c r="K29" s="50">
        <f t="shared" si="8"/>
      </c>
      <c r="L29" s="30">
        <f t="shared" si="9"/>
      </c>
      <c r="M29" s="30">
        <f t="shared" si="10"/>
      </c>
      <c r="N29" s="37"/>
      <c r="O29" s="26"/>
      <c r="Q29" s="68" t="s">
        <v>71</v>
      </c>
      <c r="R29" s="68" t="s">
        <v>82</v>
      </c>
      <c r="S29" s="68" t="s">
        <v>86</v>
      </c>
      <c r="T29" s="47" t="s">
        <v>87</v>
      </c>
      <c r="W29" s="46"/>
    </row>
    <row r="30" spans="1:23" ht="17.25" customHeight="1">
      <c r="A30" s="97" t="s">
        <v>129</v>
      </c>
      <c r="C30" s="53" t="s">
        <v>104</v>
      </c>
      <c r="D30" s="32"/>
      <c r="E30" s="33"/>
      <c r="F30" s="34"/>
      <c r="G30" s="56"/>
      <c r="H30" s="31"/>
      <c r="I30" s="35"/>
      <c r="J30" s="35"/>
      <c r="K30" s="54"/>
      <c r="L30" s="37"/>
      <c r="M30" s="37"/>
      <c r="N30" s="37"/>
      <c r="O30" s="26"/>
      <c r="Q30" s="68" t="s">
        <v>144</v>
      </c>
      <c r="R30" s="42">
        <v>118.021</v>
      </c>
      <c r="S30" s="42">
        <v>86.268</v>
      </c>
      <c r="T30" s="46"/>
      <c r="W30" s="46"/>
    </row>
    <row r="31" spans="1:23" ht="17.25" customHeight="1">
      <c r="A31" s="69" t="s">
        <v>30</v>
      </c>
      <c r="B31" s="69" t="s">
        <v>8</v>
      </c>
      <c r="C31" s="158" t="s">
        <v>42</v>
      </c>
      <c r="D31" s="158"/>
      <c r="E31" s="158"/>
      <c r="F31" s="73" t="s">
        <v>108</v>
      </c>
      <c r="G31" s="133"/>
      <c r="H31" s="134"/>
      <c r="I31" s="135"/>
      <c r="J31" s="136"/>
      <c r="K31" s="65" t="s">
        <v>107</v>
      </c>
      <c r="L31" s="59" t="s">
        <v>10</v>
      </c>
      <c r="M31" s="59" t="s">
        <v>130</v>
      </c>
      <c r="N31" s="145"/>
      <c r="O31" s="26"/>
      <c r="Q31" s="68" t="s">
        <v>145</v>
      </c>
      <c r="R31" s="42">
        <v>59.351</v>
      </c>
      <c r="S31" s="42">
        <v>43.397</v>
      </c>
      <c r="T31" s="46"/>
      <c r="W31" s="46"/>
    </row>
    <row r="32" spans="1:23" ht="17.25" customHeight="1">
      <c r="A32" s="137">
        <v>4.25</v>
      </c>
      <c r="B32" s="50">
        <f>IF(2*PI()&lt;(B18*$A$15-90)*$A$13,(B18*$A$15-90)*$A$13-2*PI(),(B18*$A$15-90)*$A$13)</f>
        <v>0.7492762829493174</v>
      </c>
      <c r="C32" s="17">
        <f>TRUNC(B32*$A$15)</f>
        <v>42</v>
      </c>
      <c r="D32" s="4">
        <f>TRUNC((B32*$A$15-C32)*60)</f>
        <v>55</v>
      </c>
      <c r="E32" s="18">
        <f>TRUNC(((B32*$A$15-C32)*60-D32)*60)</f>
        <v>49</v>
      </c>
      <c r="F32" s="74">
        <f>IF($B$19=0,$B$11-A32,IF($B$19=1,$B$11+A32,""))</f>
        <v>454.25</v>
      </c>
      <c r="G32" s="56"/>
      <c r="H32" s="31"/>
      <c r="I32" s="35"/>
      <c r="K32" s="60" t="s">
        <v>131</v>
      </c>
      <c r="L32" s="30">
        <f>$G$17+A32*COS(B32)</f>
        <v>-37388.27322653907</v>
      </c>
      <c r="M32" s="30">
        <f>$G$18+A32*SIN(B32)</f>
        <v>16018.61371344486</v>
      </c>
      <c r="N32" s="37"/>
      <c r="O32" s="26"/>
      <c r="Q32" s="68" t="s">
        <v>146</v>
      </c>
      <c r="R32" s="42">
        <v>3.897</v>
      </c>
      <c r="S32" s="42">
        <v>2.929</v>
      </c>
      <c r="T32" s="46"/>
      <c r="W32" s="46"/>
    </row>
    <row r="33" spans="1:23" ht="17.25" customHeight="1">
      <c r="A33" s="138">
        <v>4.25</v>
      </c>
      <c r="B33" s="50">
        <f>IF(2*PI()&lt;(B18*$A$15+90)*$A$13,(B18*$A$15+90)*$A$13-2*PI(),(B18*$A$15+90)*$A$13)</f>
        <v>3.8908689365391105</v>
      </c>
      <c r="C33" s="17">
        <f>TRUNC(B33*$A$15)</f>
        <v>222</v>
      </c>
      <c r="D33" s="4">
        <f>TRUNC((B33*$A$15-C33)*60)</f>
        <v>55</v>
      </c>
      <c r="E33" s="18">
        <f>TRUNC(((B33*$A$15-C33)*60-D33)*60)</f>
        <v>49</v>
      </c>
      <c r="F33" s="74">
        <f>IF($B$19=0,$B$11+A33,IF($B$19=1,$B$11-A33,""))</f>
        <v>445.75</v>
      </c>
      <c r="G33" s="89"/>
      <c r="H33" s="86"/>
      <c r="I33" s="84"/>
      <c r="J33" s="87"/>
      <c r="K33" s="60" t="s">
        <v>132</v>
      </c>
      <c r="L33" s="93">
        <f>$G$17+A33*COS(B33)</f>
        <v>-37394.49677346093</v>
      </c>
      <c r="M33" s="93">
        <f>$G$18+A33*SIN(B33)</f>
        <v>16012.824286555138</v>
      </c>
      <c r="N33" s="146"/>
      <c r="O33" s="26"/>
      <c r="Q33" s="68" t="s">
        <v>74</v>
      </c>
      <c r="R33" s="42">
        <v>229.915</v>
      </c>
      <c r="S33" s="42">
        <v>529.824</v>
      </c>
      <c r="T33" s="46"/>
      <c r="W33" s="46"/>
    </row>
    <row r="34" spans="1:23" ht="17.25" customHeight="1">
      <c r="A34" s="77" t="s">
        <v>115</v>
      </c>
      <c r="B34" s="78" t="s">
        <v>147</v>
      </c>
      <c r="C34" s="158" t="s">
        <v>42</v>
      </c>
      <c r="D34" s="158"/>
      <c r="E34" s="158"/>
      <c r="F34" s="149" t="s">
        <v>148</v>
      </c>
      <c r="G34" s="149" t="s">
        <v>148</v>
      </c>
      <c r="H34" s="57"/>
      <c r="I34" s="58"/>
      <c r="J34" s="58"/>
      <c r="K34" s="75" t="s">
        <v>116</v>
      </c>
      <c r="L34" s="59" t="s">
        <v>10</v>
      </c>
      <c r="M34" s="59" t="s">
        <v>130</v>
      </c>
      <c r="N34" s="145"/>
      <c r="O34" s="26"/>
      <c r="Q34" s="68" t="s">
        <v>75</v>
      </c>
      <c r="R34" s="42">
        <v>39.365</v>
      </c>
      <c r="S34" s="43">
        <v>627.4</v>
      </c>
      <c r="T34" s="46"/>
      <c r="W34" s="46"/>
    </row>
    <row r="35" spans="1:23" ht="17.25" customHeight="1">
      <c r="A35" s="156">
        <f>A22</f>
        <v>0.634999999999998</v>
      </c>
      <c r="B35" s="50">
        <f>IF(A35&gt;$F$11,"",G35*$A$13)</f>
        <v>0.7492762829493174</v>
      </c>
      <c r="C35" s="17">
        <f>IF(A35&gt;$F$11,"",TRUNC(B35*$A$15))</f>
        <v>42</v>
      </c>
      <c r="D35" s="4">
        <f>IF(A35&gt;$F$11,"",TRUNC((B35*$A$15-C35)*60))</f>
        <v>55</v>
      </c>
      <c r="E35" s="4">
        <f>IF(A35&gt;$F$11,"",TRUNC(((B35*$A$15-C35)*60-D35)*60))</f>
        <v>49</v>
      </c>
      <c r="F35" s="150">
        <f>IF(A35="","",IF($B$19=0,K22*$A$15-90-B22*2,IF($B$19=1,K22*$A$15-90+B22*2)))</f>
        <v>42.93036870224597</v>
      </c>
      <c r="G35" s="150">
        <f>IF(F35="","",IF(F35&gt;360,F35-360,F35))</f>
        <v>42.93036870224597</v>
      </c>
      <c r="H35" s="81"/>
      <c r="I35" s="82"/>
      <c r="J35" s="83"/>
      <c r="K35" s="159">
        <f>K11</f>
        <v>40</v>
      </c>
      <c r="L35" s="72">
        <f>IF(A35&gt;$F$11,"",L22+$A$32*COS(B35))</f>
        <v>-37388.705730783186</v>
      </c>
      <c r="M35" s="152">
        <f>IF(A35&gt;$F$11,"",M22+$A$32*SIN(B35))</f>
        <v>16019.078649009023</v>
      </c>
      <c r="N35" s="147"/>
      <c r="O35" s="26"/>
      <c r="Q35" s="68" t="s">
        <v>76</v>
      </c>
      <c r="R35" s="42">
        <v>167.365</v>
      </c>
      <c r="S35" s="42">
        <v>707.402</v>
      </c>
      <c r="T35" s="46"/>
      <c r="W35" s="46"/>
    </row>
    <row r="36" spans="1:23" ht="17.25" customHeight="1">
      <c r="A36" s="157"/>
      <c r="B36" s="55">
        <f>IF(A35&gt;$F$11,"",G36*$A$13)</f>
        <v>3.8908689365391105</v>
      </c>
      <c r="C36" s="17">
        <f>IF(A35&gt;$F$11,"",TRUNC(B36*$A$15))</f>
        <v>222</v>
      </c>
      <c r="D36" s="4">
        <f>IF(A35&gt;$F$11,"",TRUNC((B36*$A$15-C36)*60))</f>
        <v>55</v>
      </c>
      <c r="E36" s="4">
        <f>IF(A35&gt;$F$11,"",TRUNC(((B36*$A$15-C36)*60-D36)*60))</f>
        <v>49</v>
      </c>
      <c r="F36" s="151">
        <f>IF(A35="","",IF($B$19=0,K22*$A$15+90-B22*2,IF($B$19=1,K22*$A$15+90+B22*2)))</f>
        <v>222.93036870224597</v>
      </c>
      <c r="G36" s="150">
        <f>IF(F36="","",IF(F36&gt;360,F36-360,F36))</f>
        <v>222.93036870224597</v>
      </c>
      <c r="H36" s="3"/>
      <c r="I36" s="79"/>
      <c r="J36" s="80"/>
      <c r="K36" s="160"/>
      <c r="L36" s="94">
        <f>IF(A35&gt;$F$11,"",L22+$A$33*COS(B36))</f>
        <v>-37394.92927770504</v>
      </c>
      <c r="M36" s="153">
        <f>IF(A35&gt;$F$11,"",M22+$A$33*SIN(B36))</f>
        <v>16013.289222119301</v>
      </c>
      <c r="N36" s="148"/>
      <c r="O36" s="26"/>
      <c r="Q36" s="68" t="s">
        <v>77</v>
      </c>
      <c r="R36" s="42">
        <v>285.385</v>
      </c>
      <c r="S36" s="43">
        <v>793.67</v>
      </c>
      <c r="T36" s="46"/>
      <c r="W36" s="46"/>
    </row>
    <row r="37" spans="1:23" ht="17.25" customHeight="1">
      <c r="A37" s="166">
        <f>A23</f>
        <v>20.634999999999998</v>
      </c>
      <c r="B37" s="50">
        <f>IF(A37&gt;$F$11,"",G37*$A$13)</f>
        <v>0.7529108825763916</v>
      </c>
      <c r="C37" s="17">
        <f>IF(A37&gt;$F$11,"",TRUNC(B37*$A$15))</f>
        <v>43</v>
      </c>
      <c r="D37" s="4">
        <f>IF(A37&gt;$F$11,"",TRUNC((B37*$A$15-C37)*60))</f>
        <v>8</v>
      </c>
      <c r="E37" s="4">
        <f>IF(A37&gt;$F$11,"",TRUNC(((B37*$A$15-C37)*60-D37)*60))</f>
        <v>19</v>
      </c>
      <c r="F37" s="150">
        <f>IF(A37="","",IF($B$19=0,K23*$A$15-90-B23*2,IF($B$19=1,K23*$A$15-90+B23*2)))</f>
        <v>43.13861592109715</v>
      </c>
      <c r="G37" s="150">
        <f aca="true" t="shared" si="13" ref="G37:G50">IF(F37="","",IF(F37&gt;360,F37-360,F37))</f>
        <v>43.13861592109715</v>
      </c>
      <c r="H37" s="81"/>
      <c r="I37" s="82"/>
      <c r="J37" s="83"/>
      <c r="K37" s="159">
        <f>IF(K35="","",IF(K35+$L$11&gt;$J$11+$F$11,"",K35+$L$11))</f>
        <v>60</v>
      </c>
      <c r="L37" s="72">
        <f>IF(A37&gt;$F$11,"",L23+$A$32*COS(B37))</f>
        <v>-37402.35674757667</v>
      </c>
      <c r="M37" s="152">
        <f>IF(A37&gt;$F$11,"",M23+$A$32*SIN(B37))</f>
        <v>16033.716540928974</v>
      </c>
      <c r="N37" s="147"/>
      <c r="O37" s="26"/>
      <c r="Q37" s="68" t="s">
        <v>78</v>
      </c>
      <c r="R37" s="42">
        <v>413.385</v>
      </c>
      <c r="S37" s="43">
        <v>873.67</v>
      </c>
      <c r="T37" s="46"/>
      <c r="W37" s="46"/>
    </row>
    <row r="38" spans="1:23" ht="17.25" customHeight="1">
      <c r="A38" s="166"/>
      <c r="B38" s="55">
        <f>IF(A37&gt;$F$11,"",G38*$A$13)</f>
        <v>3.8945035361661846</v>
      </c>
      <c r="C38" s="17">
        <f>IF(A37&gt;$F$11,"",TRUNC(B38*$A$15))</f>
        <v>223</v>
      </c>
      <c r="D38" s="4">
        <f>IF(A37&gt;$F$11,"",TRUNC((B38*$A$15-C38)*60))</f>
        <v>8</v>
      </c>
      <c r="E38" s="4">
        <f>IF(A37&gt;$F$11,"",TRUNC(((B38*$A$15-C38)*60-D38)*60))</f>
        <v>19</v>
      </c>
      <c r="F38" s="151">
        <f>IF(A37="","",IF($B$19=0,K23*$A$15+90-B23*2,IF($B$19=1,K23*$A$15+90+B23*2)))</f>
        <v>223.13861592109714</v>
      </c>
      <c r="G38" s="150">
        <f t="shared" si="13"/>
        <v>223.13861592109714</v>
      </c>
      <c r="H38" s="3"/>
      <c r="I38" s="79"/>
      <c r="J38" s="80"/>
      <c r="K38" s="160"/>
      <c r="L38" s="94">
        <f>IF(A37&gt;$F$11,"",L23+$A$33*COS(B38))</f>
        <v>-37408.559211188585</v>
      </c>
      <c r="M38" s="153">
        <f>IF(A37&gt;$F$11,"",M23+$A$33*SIN(B38))</f>
        <v>16027.904532227767</v>
      </c>
      <c r="N38" s="148"/>
      <c r="O38" s="26"/>
      <c r="Q38" s="68" t="s">
        <v>10</v>
      </c>
      <c r="R38" s="44">
        <v>-37521.171</v>
      </c>
      <c r="S38" s="45">
        <v>-38031.114</v>
      </c>
      <c r="T38" s="46"/>
      <c r="W38" s="46"/>
    </row>
    <row r="39" spans="1:23" ht="17.25" customHeight="1">
      <c r="A39" s="166">
        <f>A24</f>
        <v>40.635</v>
      </c>
      <c r="B39" s="50">
        <f>IF(A39&gt;$F$11,"",G39*$A$13)</f>
        <v>0.7635991548788879</v>
      </c>
      <c r="C39" s="17">
        <f>IF(A39&gt;$F$11,"",TRUNC(B39*$A$15))</f>
        <v>43</v>
      </c>
      <c r="D39" s="4">
        <f>IF(A39&gt;$F$11,"",TRUNC((B39*$A$15-C39)*60))</f>
        <v>45</v>
      </c>
      <c r="E39" s="4">
        <f>IF(A39&gt;$F$11,"",TRUNC(((B39*$A$15-C39)*60-D39)*60))</f>
        <v>3</v>
      </c>
      <c r="F39" s="150">
        <f>IF(A39="","",IF($B$19=0,K24*$A$15-90-B24*2,IF($B$19=1,K24*$A$15-90+B24*2)))</f>
        <v>43.751008814316755</v>
      </c>
      <c r="G39" s="150">
        <f t="shared" si="13"/>
        <v>43.751008814316755</v>
      </c>
      <c r="H39" s="81"/>
      <c r="I39" s="82"/>
      <c r="J39" s="85"/>
      <c r="K39" s="159">
        <f>IF(K37="","",IF(K37+$L$11&gt;$J$11+$F$11,"",K37+$L$11))</f>
        <v>80</v>
      </c>
      <c r="L39" s="72">
        <f>IF(A39&gt;$F$11,"",L24+$A$32*COS(B39))</f>
        <v>-37416.132916141454</v>
      </c>
      <c r="M39" s="152">
        <f>IF(A39&gt;$F$11,"",M24+$A$32*SIN(B39))</f>
        <v>16048.276994832022</v>
      </c>
      <c r="N39" s="147"/>
      <c r="O39" s="26"/>
      <c r="Q39" s="68" t="s">
        <v>11</v>
      </c>
      <c r="R39" s="44">
        <v>16155.237</v>
      </c>
      <c r="S39" s="45">
        <v>16299.011</v>
      </c>
      <c r="T39" s="46"/>
      <c r="W39" s="46"/>
    </row>
    <row r="40" spans="1:23" ht="17.25" customHeight="1">
      <c r="A40" s="166"/>
      <c r="B40" s="55">
        <f>IF(A39&gt;$F$11,"",G40*$A$13)</f>
        <v>3.9051918084686807</v>
      </c>
      <c r="C40" s="17">
        <f>IF(A39&gt;$F$11,"",TRUNC(B40*$A$15))</f>
        <v>223</v>
      </c>
      <c r="D40" s="4">
        <f>IF(A39&gt;$F$11,"",TRUNC((B40*$A$15-C40)*60))</f>
        <v>45</v>
      </c>
      <c r="E40" s="4">
        <f>IF(A39&gt;$F$11,"",TRUNC(((B40*$A$15-C40)*60-D40)*60))</f>
        <v>3</v>
      </c>
      <c r="F40" s="151">
        <f>IF(A39="","",IF($B$19=0,K24*$A$15+90-B24*2,IF($B$19=1,K24*$A$15+90+B24*2)))</f>
        <v>223.75100881431675</v>
      </c>
      <c r="G40" s="150">
        <f t="shared" si="13"/>
        <v>223.75100881431675</v>
      </c>
      <c r="H40" s="3"/>
      <c r="I40" s="79"/>
      <c r="J40" s="84"/>
      <c r="K40" s="160"/>
      <c r="L40" s="94">
        <f>IF(A39&gt;$F$11,"",L24+$A$33*COS(B40))</f>
        <v>-37422.272906325736</v>
      </c>
      <c r="M40" s="153">
        <f>IF(A39&gt;$F$11,"",M24+$A$33*SIN(B40))</f>
        <v>16042.399025749348</v>
      </c>
      <c r="N40" s="148"/>
      <c r="O40" s="132"/>
      <c r="Q40" s="39"/>
      <c r="R40"/>
      <c r="S40" s="48"/>
      <c r="T40" s="48"/>
      <c r="U40"/>
      <c r="V40" s="46"/>
      <c r="W40" s="46"/>
    </row>
    <row r="41" spans="1:23" ht="17.25" customHeight="1">
      <c r="A41" s="166">
        <f>A25</f>
        <v>60.635</v>
      </c>
      <c r="B41" s="50">
        <f>IF(A41&gt;$F$11,"",G41*$A$13)</f>
        <v>0.7811904990128771</v>
      </c>
      <c r="C41" s="17">
        <f>IF(A41&gt;$F$11,"",TRUNC(B41*$A$15))</f>
        <v>44</v>
      </c>
      <c r="D41" s="4">
        <f>IF(A41&gt;$F$11,"",TRUNC((B41*$A$15-C41)*60))</f>
        <v>45</v>
      </c>
      <c r="E41" s="4">
        <f>IF(A41&gt;$F$11,"",TRUNC(((B41*$A$15-C41)*60-D41)*60))</f>
        <v>32</v>
      </c>
      <c r="F41" s="150">
        <f>IF(A41="","",IF($B$19=0,K25*$A$15-90-B25*2,IF($B$19=1,K25*$A$15-90+B25*2)))</f>
        <v>44.75891858915656</v>
      </c>
      <c r="G41" s="150">
        <f t="shared" si="13"/>
        <v>44.75891858915656</v>
      </c>
      <c r="H41" s="81"/>
      <c r="I41" s="82"/>
      <c r="J41" s="88"/>
      <c r="K41" s="159">
        <f>IF(K39="","",IF(K39+$L$11&gt;$J$11+$F$11,"",K39+$L$11))</f>
        <v>100</v>
      </c>
      <c r="L41" s="72">
        <f>IF(A41&gt;$F$11,"",L25+$A$32*COS(B41))</f>
        <v>-37430.13409888786</v>
      </c>
      <c r="M41" s="152">
        <f>IF(A41&gt;$F$11,"",M25+$A$32*SIN(B41))</f>
        <v>16062.663366659197</v>
      </c>
      <c r="N41" s="147"/>
      <c r="O41" s="132"/>
      <c r="Q41" s="39" t="s">
        <v>88</v>
      </c>
      <c r="R41">
        <v>-37628.311</v>
      </c>
      <c r="S41" s="154">
        <v>16293.347</v>
      </c>
      <c r="T41" s="48"/>
      <c r="U41"/>
      <c r="V41" s="46"/>
      <c r="W41" s="46"/>
    </row>
    <row r="42" spans="1:23" ht="17.25" customHeight="1">
      <c r="A42" s="166"/>
      <c r="B42" s="55">
        <f>IF(A41&gt;$F$11,"",G42*$A$13)</f>
        <v>3.9227831526026704</v>
      </c>
      <c r="C42" s="17">
        <f>IF(A41&gt;$F$11,"",TRUNC(B42*$A$15))</f>
        <v>224</v>
      </c>
      <c r="D42" s="4">
        <f>IF(A41&gt;$F$11,"",TRUNC((B42*$A$15-C42)*60))</f>
        <v>45</v>
      </c>
      <c r="E42" s="4">
        <f>IF(A41&gt;$F$11,"",TRUNC(((B42*$A$15-C42)*60-D42)*60))</f>
        <v>32</v>
      </c>
      <c r="F42" s="151">
        <f>IF(A41="","",IF($B$19=0,K25*$A$15+90-B25*2,IF($B$19=1,K25*$A$15+90+B25*2)))</f>
        <v>224.75891858915656</v>
      </c>
      <c r="G42" s="150">
        <f t="shared" si="13"/>
        <v>224.75891858915656</v>
      </c>
      <c r="H42" s="3"/>
      <c r="I42" s="79"/>
      <c r="J42" s="86"/>
      <c r="K42" s="160"/>
      <c r="L42" s="94">
        <f>IF(A41&gt;$F$11,"",L25+$A$33*COS(B42))</f>
        <v>-37436.16974302612</v>
      </c>
      <c r="M42" s="153">
        <f>IF(A41&gt;$F$11,"",M25+$A$33*SIN(B42))</f>
        <v>16056.678301928021</v>
      </c>
      <c r="N42" s="148"/>
      <c r="O42" s="132"/>
      <c r="Q42" s="39" t="s">
        <v>89</v>
      </c>
      <c r="R42">
        <v>-38395.745</v>
      </c>
      <c r="S42" s="155">
        <v>16708.21</v>
      </c>
      <c r="T42" s="48"/>
      <c r="U42"/>
      <c r="V42" s="46"/>
      <c r="W42" s="46"/>
    </row>
    <row r="43" spans="1:15" ht="17.25" customHeight="1">
      <c r="A43" s="166">
        <f>A26</f>
        <v>80.63499999999999</v>
      </c>
      <c r="B43" s="50">
        <f>IF(A43&gt;$F$11,"",G43*$A$13)</f>
        <v>0.8057273349130742</v>
      </c>
      <c r="C43" s="17">
        <f>IF(A43&gt;$F$11,"",TRUNC(B43*$A$15))</f>
        <v>46</v>
      </c>
      <c r="D43" s="4">
        <f>IF(A43&gt;$F$11,"",TRUNC((B43*$A$15-C43)*60))</f>
        <v>9</v>
      </c>
      <c r="E43" s="4">
        <f>IF(A43&gt;$F$11,"",TRUNC(((B43*$A$15-C43)*60-D43)*60))</f>
        <v>53</v>
      </c>
      <c r="F43" s="150">
        <f>IF(A43="","",IF($B$19=0,K26*$A$15-90-B26*2,IF($B$19=1,K26*$A$15-90+B26*2)))</f>
        <v>46.16477572884294</v>
      </c>
      <c r="G43" s="150">
        <f t="shared" si="13"/>
        <v>46.16477572884294</v>
      </c>
      <c r="H43" s="81"/>
      <c r="I43" s="82"/>
      <c r="J43" s="88"/>
      <c r="K43" s="159">
        <f>IF(K41="","",IF(K41+$L$11&gt;$J$11+$F$11,"",K41+$L$11))</f>
        <v>120</v>
      </c>
      <c r="L43" s="72">
        <f>IF(A43&gt;$F$11,"",L26+$A$32*COS(B43))</f>
        <v>-37444.455555639215</v>
      </c>
      <c r="M43" s="152">
        <f>IF(A43&gt;$F$11,"",M26+$A$32*SIN(B43))</f>
        <v>16076.77169117937</v>
      </c>
      <c r="N43" s="147"/>
      <c r="O43" s="132"/>
    </row>
    <row r="44" spans="1:15" ht="17.25" customHeight="1">
      <c r="A44" s="166"/>
      <c r="B44" s="55">
        <f>IF(A43&gt;$F$11,"",G44*$A$13)</f>
        <v>3.9473199885028674</v>
      </c>
      <c r="C44" s="17">
        <f>IF(A43&gt;$F$11,"",TRUNC(B44*$A$15))</f>
        <v>226</v>
      </c>
      <c r="D44" s="4">
        <f>IF(A43&gt;$F$11,"",TRUNC((B44*$A$15-C44)*60))</f>
        <v>9</v>
      </c>
      <c r="E44" s="4">
        <f>IF(A43&gt;$F$11,"",TRUNC(((B44*$A$15-C44)*60-D44)*60))</f>
        <v>53</v>
      </c>
      <c r="F44" s="151">
        <f>IF(A43="","",IF($B$19=0,K26*$A$15+90-B26*2,IF($B$19=1,K26*$A$15+90+B26*2)))</f>
        <v>226.16477572884293</v>
      </c>
      <c r="G44" s="150">
        <f t="shared" si="13"/>
        <v>226.16477572884293</v>
      </c>
      <c r="H44" s="3"/>
      <c r="I44" s="79"/>
      <c r="J44" s="86"/>
      <c r="K44" s="160"/>
      <c r="L44" s="94">
        <f>IF(A43&gt;$F$11,"",L26+$A$33*COS(B44))</f>
        <v>-37450.342543153965</v>
      </c>
      <c r="M44" s="153">
        <f>IF(A43&gt;$F$11,"",M26+$A$33*SIN(B44))</f>
        <v>16070.640347280912</v>
      </c>
      <c r="N44" s="148"/>
      <c r="O44" s="132"/>
    </row>
    <row r="45" spans="1:15" ht="17.25" customHeight="1">
      <c r="A45" s="166">
        <f>A27</f>
        <v>100.63499999999999</v>
      </c>
      <c r="B45" s="50">
        <f>IF(A45&gt;$F$11,"",G45*$A$13)</f>
        <v>0.8371714087562444</v>
      </c>
      <c r="C45" s="17">
        <f>IF(A45&gt;$F$11,"",TRUNC(B45*$A$15))</f>
        <v>47</v>
      </c>
      <c r="D45" s="4">
        <f>IF(A45&gt;$F$11,"",TRUNC((B45*$A$15-C45)*60))</f>
        <v>57</v>
      </c>
      <c r="E45" s="4">
        <f>IF(A45&gt;$F$11,"",TRUNC(((B45*$A$15-C45)*60-D45)*60))</f>
        <v>58</v>
      </c>
      <c r="F45" s="150">
        <f>IF(A45="","",IF($B$19=0,K27*$A$15-90-B27*2,IF($B$19=1,K27*$A$15-90+B27*2)))</f>
        <v>47.966388450754295</v>
      </c>
      <c r="G45" s="150">
        <f t="shared" si="13"/>
        <v>47.966388450754295</v>
      </c>
      <c r="H45" s="81"/>
      <c r="I45" s="82"/>
      <c r="J45" s="88"/>
      <c r="K45" s="159">
        <f>IF(K43="","",IF(K43+$L$11&gt;$J$11+$F$11,"",K43+$L$11))</f>
        <v>140</v>
      </c>
      <c r="L45" s="72">
        <f>IF(A45&gt;$F$11,"",L27+$A$32*COS(B45))</f>
        <v>-37459.187242898115</v>
      </c>
      <c r="M45" s="152">
        <f>IF(A45&gt;$F$11,"",M27+$A$32*SIN(B45))</f>
        <v>16090.494368741498</v>
      </c>
      <c r="N45" s="147"/>
      <c r="O45" s="132"/>
    </row>
    <row r="46" spans="1:15" ht="17.25" customHeight="1">
      <c r="A46" s="166"/>
      <c r="B46" s="55">
        <f>IF(A45&gt;$F$11,"",G46*$A$13)</f>
        <v>3.9787640623460376</v>
      </c>
      <c r="C46" s="17">
        <f>IF(A45&gt;$F$11,"",TRUNC(B46*$A$15))</f>
        <v>227</v>
      </c>
      <c r="D46" s="4">
        <f>IF(A45&gt;$F$11,"",TRUNC((B46*$A$15-C46)*60))</f>
        <v>57</v>
      </c>
      <c r="E46" s="4">
        <f>IF(A45&gt;$F$11,"",TRUNC(((B46*$A$15-C46)*60-D46)*60))</f>
        <v>58</v>
      </c>
      <c r="F46" s="151">
        <f>IF(A45="","",IF($B$19=0,K27*$A$15+90-B27*2,IF($B$19=1,K27*$A$15+90+B27*2)))</f>
        <v>227.9663884507543</v>
      </c>
      <c r="G46" s="150">
        <f t="shared" si="13"/>
        <v>227.9663884507543</v>
      </c>
      <c r="H46" s="3"/>
      <c r="I46" s="79"/>
      <c r="J46" s="86"/>
      <c r="K46" s="160"/>
      <c r="L46" s="94">
        <f>IF(A45&gt;$F$11,"",L27+$A$33*COS(B46))</f>
        <v>-37464.87855767111</v>
      </c>
      <c r="M46" s="153">
        <f>IF(A45&gt;$F$11,"",M27+$A$33*SIN(B46))</f>
        <v>16084.180975346922</v>
      </c>
      <c r="N46" s="148"/>
      <c r="O46" s="132"/>
    </row>
    <row r="47" spans="1:15" ht="17.25" customHeight="1">
      <c r="A47" s="166">
        <f>A28</f>
        <v>120.63499999999999</v>
      </c>
      <c r="B47" s="50">
        <f>IF(A47&gt;$F$11,"",G47*$A$13)</f>
        <v>0.875585030512535</v>
      </c>
      <c r="C47" s="17">
        <f>IF(A47&gt;$F$11,"",TRUNC(B47*$A$15))</f>
        <v>50</v>
      </c>
      <c r="D47" s="4">
        <f>IF(A47&gt;$F$11,"",TRUNC((B47*$A$15-C47)*60))</f>
        <v>10</v>
      </c>
      <c r="E47" s="4">
        <f>IF(A47&gt;$F$11,"",TRUNC(((B47*$A$15-C47)*60-D47)*60))</f>
        <v>2</v>
      </c>
      <c r="F47" s="150">
        <f>IF(A47="","",IF($B$19=0,K28*$A$15-90-B28*2,IF($B$19=1,K28*$A$15-90+B28*2)))</f>
        <v>50.167326853201665</v>
      </c>
      <c r="G47" s="150">
        <f t="shared" si="13"/>
        <v>50.167326853201665</v>
      </c>
      <c r="H47" s="81"/>
      <c r="I47" s="82"/>
      <c r="J47" s="88"/>
      <c r="K47" s="159">
        <f>IF(K45="","",IF(K45+$L$11&gt;$J$11+$F$11,"",K45+$L$11))</f>
        <v>160</v>
      </c>
      <c r="L47" s="72">
        <f>IF(A47&gt;$F$11,"",L28+$A$32*COS(B47))</f>
        <v>-37474.41270075367</v>
      </c>
      <c r="M47" s="152">
        <f>IF(A47&gt;$F$11,"",M28+$A$32*SIN(B47))</f>
        <v>16103.713020176927</v>
      </c>
      <c r="N47" s="147"/>
      <c r="O47" s="132"/>
    </row>
    <row r="48" spans="1:15" ht="17.25" customHeight="1">
      <c r="A48" s="166"/>
      <c r="B48" s="55">
        <f>IF(A47&gt;$F$11,"",G48*$A$13)</f>
        <v>4.017177684102329</v>
      </c>
      <c r="C48" s="17">
        <f>IF(A47&gt;$F$11,"",TRUNC(B48*$A$15))</f>
        <v>230</v>
      </c>
      <c r="D48" s="4">
        <f>IF(A47&gt;$F$11,"",TRUNC((B48*$A$15-C48)*60))</f>
        <v>10</v>
      </c>
      <c r="E48" s="4">
        <f>IF(A47&gt;$F$11,"",TRUNC(((B48*$A$15-C48)*60-D48)*60))</f>
        <v>2</v>
      </c>
      <c r="F48" s="151">
        <f>IF(A47="","",IF($B$19=0,K28*$A$15+90-B28*2,IF($B$19=1,K28*$A$15+90+B28*2)))</f>
        <v>230.16732685320167</v>
      </c>
      <c r="G48" s="150">
        <f t="shared" si="13"/>
        <v>230.16732685320167</v>
      </c>
      <c r="H48" s="3"/>
      <c r="I48" s="79"/>
      <c r="J48" s="86"/>
      <c r="K48" s="160"/>
      <c r="L48" s="94">
        <f>IF(A47&gt;$F$11,"",L28+$A$33*COS(B48))</f>
        <v>-37479.85735630675</v>
      </c>
      <c r="M48" s="153">
        <f>IF(A47&gt;$F$11,"",M28+$A$33*SIN(B48))</f>
        <v>16097.185714001453</v>
      </c>
      <c r="N48" s="148"/>
      <c r="O48" s="132"/>
    </row>
    <row r="49" spans="1:14" ht="17.25" customHeight="1">
      <c r="A49" s="156">
        <f>A29</f>
      </c>
      <c r="B49" s="50">
        <f>IF(A49&gt;$F$11,"",G49*$A$13)</f>
      </c>
      <c r="C49" s="17">
        <f>IF(A49&gt;$F$11,"",TRUNC(B49*$A$15))</f>
      </c>
      <c r="D49" s="4">
        <f>IF(A49&gt;$F$11,"",TRUNC((B49*$A$15-C49)*60))</f>
      </c>
      <c r="E49" s="4">
        <f>IF(A49&gt;$F$11,"",TRUNC(((B49*$A$15-C49)*60-D49)*60))</f>
      </c>
      <c r="F49" s="150">
        <f>IF(A49="","",IF($B$19=0,K29*$A$15-90-B29*2,IF($B$19=1,K29*$A$15-90+B29*2)))</f>
      </c>
      <c r="G49" s="150">
        <f t="shared" si="13"/>
      </c>
      <c r="H49" s="81"/>
      <c r="I49" s="82"/>
      <c r="J49" s="88"/>
      <c r="K49" s="159">
        <f>IF(K47="","",IF(K47+$L$11&gt;$J$11+$F$11,"",K47+$L$11))</f>
      </c>
      <c r="L49" s="72">
        <f>IF(A49&gt;$F$11,"",#REF!+$A$32*COS(B49))</f>
      </c>
      <c r="M49" s="152">
        <f>IF(A49&gt;$F$11,"",#REF!+$A$32*SIN(B49))</f>
      </c>
      <c r="N49" s="147"/>
    </row>
    <row r="50" spans="1:14" ht="17.25" customHeight="1">
      <c r="A50" s="157"/>
      <c r="B50" s="55">
        <f>IF(A49&gt;$F$11,"",G50*$A$13)</f>
      </c>
      <c r="C50" s="17">
        <f>IF(A49&gt;$F$11,"",TRUNC(B50*$A$15))</f>
      </c>
      <c r="D50" s="4">
        <f>IF(A49&gt;$F$11,"",TRUNC((B50*$A$15-C50)*60))</f>
      </c>
      <c r="E50" s="4">
        <f>IF(A49&gt;$F$11,"",TRUNC(((B50*$A$15-C50)*60-D50)*60))</f>
      </c>
      <c r="F50" s="151">
        <f>IF(A49="","",IF($B$19=0,K29*$A$15+90-B29*2,IF($B$19=1,K29*$A$15+90+B29*2)))</f>
      </c>
      <c r="G50" s="150">
        <f t="shared" si="13"/>
      </c>
      <c r="H50" s="3"/>
      <c r="I50" s="79"/>
      <c r="J50" s="86"/>
      <c r="K50" s="160"/>
      <c r="L50" s="94">
        <f>IF(A49&gt;$F$11,"",#REF!+$A$33*COS(B50))</f>
      </c>
      <c r="M50" s="153">
        <f>IF(A49&gt;$F$11,"",#REF!+$A$33*SIN(B50))</f>
      </c>
      <c r="N50" s="148"/>
    </row>
    <row r="53" spans="9:10" ht="17.25" customHeight="1">
      <c r="I53" s="36"/>
      <c r="J53" s="36"/>
    </row>
    <row r="54" spans="1:10" ht="17.25" customHeight="1">
      <c r="A54" s="97" t="s">
        <v>129</v>
      </c>
      <c r="I54" s="3"/>
      <c r="J54" s="3"/>
    </row>
    <row r="55" spans="1:14" ht="17.25" customHeight="1">
      <c r="A55" s="69" t="s">
        <v>30</v>
      </c>
      <c r="B55" s="69" t="s">
        <v>8</v>
      </c>
      <c r="C55" s="158" t="s">
        <v>42</v>
      </c>
      <c r="D55" s="158"/>
      <c r="E55" s="158"/>
      <c r="F55" s="69" t="s">
        <v>44</v>
      </c>
      <c r="G55" s="69" t="s">
        <v>2</v>
      </c>
      <c r="H55" s="69" t="s">
        <v>47</v>
      </c>
      <c r="I55" s="28" t="s">
        <v>90</v>
      </c>
      <c r="J55" s="28" t="s">
        <v>91</v>
      </c>
      <c r="K55" s="52" t="s">
        <v>63</v>
      </c>
      <c r="L55" s="29" t="s">
        <v>120</v>
      </c>
      <c r="M55" s="29" t="s">
        <v>121</v>
      </c>
      <c r="N55" s="145"/>
    </row>
    <row r="56" spans="1:14" ht="17.25" customHeight="1">
      <c r="A56" s="76">
        <f>F11</f>
        <v>128</v>
      </c>
      <c r="B56" s="8">
        <f>IF(A56&gt;$F$11,"",(H56*$A$15))</f>
        <v>2.71561313367264</v>
      </c>
      <c r="C56" s="20">
        <f>IF(A56&gt;$F$11,"",INT(B56))</f>
        <v>2</v>
      </c>
      <c r="D56" s="21">
        <f>IF(A56&gt;$F$11,"",TRUNC((H56*$A$15-C56)*60))</f>
        <v>42</v>
      </c>
      <c r="E56" s="22">
        <f>IF(A56&gt;$F$11,"",TRUNC(((H56*$A$15-C56)*60-D56)*60))</f>
        <v>56</v>
      </c>
      <c r="F56" s="23">
        <f>IF(A56&gt;$F$11,"",IF(ISERROR(ROUND(J56/SIN(H56),3)),A56,ROUND(J56/SIN(H56),3)))</f>
        <v>127.885</v>
      </c>
      <c r="G56" s="49">
        <f>IF(A56&gt;$F$11,"",$A$11^2/A56)</f>
        <v>450</v>
      </c>
      <c r="H56" s="8">
        <f>IF(A56&gt;$F$11,"",ATAN(J56/I56))</f>
        <v>0.04739639039298846</v>
      </c>
      <c r="I56" s="9">
        <f>IF(A56&gt;$F$11,"",ROUND(A56*(1-A56^2/40/G56^2+A56^4/3456/G56^4-A56^6/599040/G56^6),3))</f>
        <v>127.741</v>
      </c>
      <c r="J56" s="9">
        <f>IF(A56&gt;$F$11,"",ROUND(A56^2/6/G56*(1-A56^2/56/G56^2+A56^4/7040/G56^4-A56^6/1612800/G56^6),3))</f>
        <v>6.059</v>
      </c>
      <c r="K56" s="50">
        <f>IF(A56&gt;$F$11,"",IF($B$19=0,($H$20-H56),IF($B$19=1,($H$20+H56),"")))</f>
        <v>2.3674690001372025</v>
      </c>
      <c r="L56" s="30">
        <f>IF(A56&gt;$F$11,"",$G$17+F56*COS(K56))</f>
        <v>-37482.82711713217</v>
      </c>
      <c r="M56" s="30">
        <f>IF(A56&gt;$F$11,"",$G$18+F56*SIN(K56))</f>
        <v>16105.122089652357</v>
      </c>
      <c r="N56" s="37"/>
    </row>
    <row r="57" spans="1:14" ht="17.25" customHeight="1">
      <c r="A57" s="104"/>
      <c r="B57" s="31"/>
      <c r="C57" s="32"/>
      <c r="D57" s="32"/>
      <c r="E57" s="33"/>
      <c r="F57" s="34"/>
      <c r="G57" s="56"/>
      <c r="H57" s="31"/>
      <c r="I57" s="35"/>
      <c r="J57" s="35"/>
      <c r="K57" s="54"/>
      <c r="L57" s="37"/>
      <c r="M57" s="37"/>
      <c r="N57" s="37"/>
    </row>
    <row r="58" spans="1:14" ht="17.25" customHeight="1">
      <c r="A58" s="95" t="s">
        <v>4</v>
      </c>
      <c r="B58" s="1" t="s">
        <v>24</v>
      </c>
      <c r="G58" s="1" t="s">
        <v>7</v>
      </c>
      <c r="I58" s="1" t="s">
        <v>25</v>
      </c>
      <c r="M58" s="37"/>
      <c r="N58" s="37"/>
    </row>
    <row r="59" spans="2:14" ht="17.25" customHeight="1">
      <c r="B59" s="1" t="s">
        <v>27</v>
      </c>
      <c r="G59" s="1" t="s">
        <v>41</v>
      </c>
      <c r="M59" s="37"/>
      <c r="N59" s="37"/>
    </row>
    <row r="60" spans="3:14" ht="17.25" customHeight="1">
      <c r="C60" s="158" t="s">
        <v>5</v>
      </c>
      <c r="D60" s="158"/>
      <c r="E60" s="158"/>
      <c r="F60" s="69" t="s">
        <v>112</v>
      </c>
      <c r="G60" s="69" t="s">
        <v>109</v>
      </c>
      <c r="M60" s="37"/>
      <c r="N60" s="37"/>
    </row>
    <row r="61" spans="3:14" ht="17.25" customHeight="1">
      <c r="C61" s="129">
        <v>15</v>
      </c>
      <c r="D61" s="130">
        <v>1</v>
      </c>
      <c r="E61" s="131">
        <v>37</v>
      </c>
      <c r="F61" s="71">
        <f>ROUND(J11+F11,3)</f>
        <v>167.365</v>
      </c>
      <c r="G61" s="109">
        <v>180</v>
      </c>
      <c r="M61" s="37"/>
      <c r="N61" s="37"/>
    </row>
    <row r="62" spans="2:14" ht="17.25" customHeight="1">
      <c r="B62" s="64" t="s">
        <v>106</v>
      </c>
      <c r="C62" s="163" t="s">
        <v>42</v>
      </c>
      <c r="D62" s="164"/>
      <c r="E62" s="165"/>
      <c r="F62" s="67" t="s">
        <v>13</v>
      </c>
      <c r="G62" s="69" t="s">
        <v>6</v>
      </c>
      <c r="H62" s="69" t="s">
        <v>23</v>
      </c>
      <c r="I62" s="69" t="s">
        <v>22</v>
      </c>
      <c r="J62" s="69" t="s">
        <v>31</v>
      </c>
      <c r="M62" s="37"/>
      <c r="N62" s="37"/>
    </row>
    <row r="63" spans="2:14" ht="17.25" customHeight="1">
      <c r="B63" s="8">
        <f>IF(B19=0,$H$20-H56*3,IF(B19=1,$H$20+H56*3,""))</f>
        <v>2.4622617809231793</v>
      </c>
      <c r="C63" s="17">
        <f>TRUNC(B63*$A$15)</f>
        <v>141</v>
      </c>
      <c r="D63" s="4">
        <f>TRUNC((B63*$A$15-C63)*60)</f>
        <v>4</v>
      </c>
      <c r="E63" s="18">
        <f>TRUNC(((B63*$A$15-C63)*60-D63)*60)</f>
        <v>37</v>
      </c>
      <c r="F63" s="103">
        <f>ROUND(B11*TAN(B65/2),3)</f>
        <v>59.351</v>
      </c>
      <c r="G63" s="9">
        <f>ROUND($B$11*B65,3)</f>
        <v>118.021</v>
      </c>
      <c r="H63" s="11">
        <f>ROUND(B11*((1/(COS(B65/2)))-1),3)</f>
        <v>3.897</v>
      </c>
      <c r="I63" s="11">
        <f>ROUND(B11*(1-COS(B65/2)),3)</f>
        <v>3.864</v>
      </c>
      <c r="J63" s="25">
        <f>ROUND(2*B11*SIN(B65/2),3)</f>
        <v>117.683</v>
      </c>
      <c r="M63" s="37"/>
      <c r="N63" s="37"/>
    </row>
    <row r="64" spans="2:14" ht="17.25" customHeight="1">
      <c r="B64" s="24" t="s">
        <v>26</v>
      </c>
      <c r="C64" s="163" t="s">
        <v>42</v>
      </c>
      <c r="D64" s="164"/>
      <c r="E64" s="165"/>
      <c r="F64" s="69" t="s">
        <v>122</v>
      </c>
      <c r="K64" s="99"/>
      <c r="L64" s="29" t="s">
        <v>140</v>
      </c>
      <c r="M64" s="29" t="s">
        <v>130</v>
      </c>
      <c r="N64" s="145"/>
    </row>
    <row r="65" spans="1:14" ht="17.25" customHeight="1">
      <c r="A65" s="123"/>
      <c r="B65" s="8">
        <f>F65*$A$13</f>
        <v>0.2622696570698257</v>
      </c>
      <c r="C65" s="17">
        <f>TRUNC(B65*$A$15)</f>
        <v>15</v>
      </c>
      <c r="D65" s="4">
        <f>TRUNC((B65*$A$15-C65)*60)</f>
        <v>1</v>
      </c>
      <c r="E65" s="18">
        <f>TRUNC(((B65*$A$15-C65)*60-D65)*60)</f>
        <v>37</v>
      </c>
      <c r="F65" s="10">
        <f>C61+(D61/100/0.6)+(E61/10000/0.36)</f>
        <v>15.026944444444446</v>
      </c>
      <c r="K65" s="142" t="s">
        <v>149</v>
      </c>
      <c r="L65" s="30">
        <f>IF(L56="","",$L$56+$F$63*COS($B$63))</f>
        <v>-37529.00179672357</v>
      </c>
      <c r="M65" s="30">
        <f>IF(M56="","",$M$56+$F$63*SIN($B$63))</f>
        <v>16142.410696030598</v>
      </c>
      <c r="N65" s="37"/>
    </row>
    <row r="66" spans="1:14" ht="17.25" customHeight="1">
      <c r="A66" s="123"/>
      <c r="B66" s="31"/>
      <c r="C66" s="36"/>
      <c r="D66" s="36"/>
      <c r="E66" s="36"/>
      <c r="F66" s="91"/>
      <c r="L66" s="26"/>
      <c r="M66" s="37"/>
      <c r="N66" s="37"/>
    </row>
    <row r="67" spans="1:14" ht="17.25" customHeight="1">
      <c r="A67" s="123"/>
      <c r="B67" s="31"/>
      <c r="C67" s="36"/>
      <c r="D67" s="36"/>
      <c r="E67" s="36"/>
      <c r="F67" s="91"/>
      <c r="K67" s="124"/>
      <c r="M67" s="37"/>
      <c r="N67" s="37"/>
    </row>
    <row r="68" spans="1:14" ht="17.25" customHeight="1">
      <c r="A68" s="95" t="s">
        <v>4</v>
      </c>
      <c r="B68" s="1" t="s">
        <v>28</v>
      </c>
      <c r="C68" s="90"/>
      <c r="D68" s="62"/>
      <c r="E68" s="62"/>
      <c r="F68" s="31"/>
      <c r="G68" s="36"/>
      <c r="H68" s="91"/>
      <c r="I68" s="63"/>
      <c r="J68" s="36"/>
      <c r="K68" s="61"/>
      <c r="L68" s="92"/>
      <c r="M68" s="37"/>
      <c r="N68" s="37"/>
    </row>
    <row r="69" spans="1:14" ht="17.25" customHeight="1">
      <c r="A69" s="1" t="s">
        <v>119</v>
      </c>
      <c r="B69" s="1" t="s">
        <v>46</v>
      </c>
      <c r="F69" s="2" t="s">
        <v>33</v>
      </c>
      <c r="I69" s="2" t="s">
        <v>34</v>
      </c>
      <c r="M69" s="37"/>
      <c r="N69" s="37"/>
    </row>
    <row r="70" spans="1:14" ht="17.25" customHeight="1">
      <c r="A70" s="69" t="s">
        <v>30</v>
      </c>
      <c r="B70" s="69" t="s">
        <v>32</v>
      </c>
      <c r="C70" s="158" t="s">
        <v>42</v>
      </c>
      <c r="D70" s="158"/>
      <c r="E70" s="158"/>
      <c r="F70" s="69" t="s">
        <v>29</v>
      </c>
      <c r="G70" s="69"/>
      <c r="H70" s="69" t="s">
        <v>43</v>
      </c>
      <c r="I70" s="69"/>
      <c r="J70" s="69" t="s">
        <v>117</v>
      </c>
      <c r="K70" s="52" t="s">
        <v>63</v>
      </c>
      <c r="L70" s="59" t="s">
        <v>10</v>
      </c>
      <c r="M70" s="59" t="s">
        <v>130</v>
      </c>
      <c r="N70" s="145"/>
    </row>
    <row r="71" spans="1:17" ht="17.25" customHeight="1">
      <c r="A71" s="76">
        <f>G61-F61</f>
        <v>12.634999999999991</v>
      </c>
      <c r="B71" s="8">
        <f aca="true" t="shared" si="14" ref="B71:B78">IF(A71&gt;$G$63,"",H71*$A$15)</f>
        <v>0.8043690823864384</v>
      </c>
      <c r="C71" s="20">
        <f aca="true" t="shared" si="15" ref="C71:C78">IF(A71&gt;$G$63,"",INT(B71))</f>
        <v>0</v>
      </c>
      <c r="D71" s="21">
        <f aca="true" t="shared" si="16" ref="D71:D78">IF(A71&gt;$G$63,"",TRUNC((H71*$A$15-C71)*60))</f>
        <v>48</v>
      </c>
      <c r="E71" s="22">
        <f aca="true" t="shared" si="17" ref="E71:E78">IF(A71&gt;$G$63,"",TRUNC(((H71*$A$15-C71)*60-D71)*60))</f>
        <v>15</v>
      </c>
      <c r="F71" s="23">
        <f aca="true" t="shared" si="18" ref="F71:F78">IF(A71&gt;$G$63,"",2*$B$11*SIN(B71*PI()/180))</f>
        <v>12.634584964553385</v>
      </c>
      <c r="G71" s="9"/>
      <c r="H71" s="8">
        <f aca="true" t="shared" si="19" ref="H71:H78">IF(A71&gt;$G$63,"",(A71/(2*$B$11)))</f>
        <v>0.014038888888888879</v>
      </c>
      <c r="I71" s="9"/>
      <c r="J71" s="9">
        <f>G61</f>
        <v>180</v>
      </c>
      <c r="K71" s="50">
        <f aca="true" t="shared" si="20" ref="K71:K78">IF(A71&gt;$F$11,"",IF($B$19=0,($B$63-H71),IF($B$19=1,($B$63+H71),"")))</f>
        <v>2.476300669812068</v>
      </c>
      <c r="L71" s="30">
        <f aca="true" t="shared" si="21" ref="L71:L78">IF(A71&gt;$F$11,"",$L$56+F71*COS(K71))</f>
        <v>-37492.767207301076</v>
      </c>
      <c r="M71" s="30">
        <f aca="true" t="shared" si="22" ref="M71:M78">IF(A71&gt;$F$11,"",$M$56+F71*SIN(K71))</f>
        <v>16112.921278370459</v>
      </c>
      <c r="N71" s="37"/>
      <c r="O71" s="26"/>
      <c r="Q71" s="26"/>
    </row>
    <row r="72" spans="1:14" ht="17.25" customHeight="1">
      <c r="A72" s="76">
        <f>IF(A71="","",IF($G$63&lt;A71+20,"",A71+20))</f>
        <v>32.63499999999999</v>
      </c>
      <c r="B72" s="8">
        <f t="shared" si="14"/>
        <v>2.077608627121601</v>
      </c>
      <c r="C72" s="20">
        <f t="shared" si="15"/>
        <v>2</v>
      </c>
      <c r="D72" s="21">
        <f t="shared" si="16"/>
        <v>4</v>
      </c>
      <c r="E72" s="22">
        <f t="shared" si="17"/>
        <v>39</v>
      </c>
      <c r="F72" s="23">
        <f t="shared" si="18"/>
        <v>32.627848682997794</v>
      </c>
      <c r="G72" s="9"/>
      <c r="H72" s="8">
        <f t="shared" si="19"/>
        <v>0.0362611111111111</v>
      </c>
      <c r="I72" s="9"/>
      <c r="J72" s="9">
        <f aca="true" t="shared" si="23" ref="J72:J78">IF(J71="","",IF($F$61+$G$63&lt;J71+$L$11,"",J71+$L$11))</f>
        <v>200</v>
      </c>
      <c r="K72" s="50">
        <f t="shared" si="20"/>
        <v>2.4985228920342903</v>
      </c>
      <c r="L72" s="30">
        <f t="shared" si="21"/>
        <v>-37508.93783800945</v>
      </c>
      <c r="M72" s="30">
        <f t="shared" si="22"/>
        <v>16124.687537895355</v>
      </c>
      <c r="N72" s="37"/>
    </row>
    <row r="73" spans="1:14" ht="17.25" customHeight="1">
      <c r="A73" s="100">
        <f aca="true" t="shared" si="24" ref="A73:A78">IF(A72="","",IF($G$63&lt;A72+20,"",A72+20))</f>
        <v>52.63499999999999</v>
      </c>
      <c r="B73" s="8">
        <f t="shared" si="14"/>
        <v>3.350848171856764</v>
      </c>
      <c r="C73" s="20">
        <f t="shared" si="15"/>
        <v>3</v>
      </c>
      <c r="D73" s="21">
        <f t="shared" si="16"/>
        <v>21</v>
      </c>
      <c r="E73" s="22">
        <f t="shared" si="17"/>
        <v>3</v>
      </c>
      <c r="F73" s="23">
        <f t="shared" si="18"/>
        <v>52.60500054662972</v>
      </c>
      <c r="G73" s="9"/>
      <c r="H73" s="8">
        <f t="shared" si="19"/>
        <v>0.058483333333333325</v>
      </c>
      <c r="I73" s="9"/>
      <c r="J73" s="9">
        <f t="shared" si="23"/>
        <v>220</v>
      </c>
      <c r="K73" s="50">
        <f t="shared" si="20"/>
        <v>2.5207451142565125</v>
      </c>
      <c r="L73" s="30">
        <f t="shared" si="21"/>
        <v>-37525.61527307518</v>
      </c>
      <c r="M73" s="30">
        <f t="shared" si="22"/>
        <v>16135.723720221778</v>
      </c>
      <c r="N73" s="37"/>
    </row>
    <row r="74" spans="1:14" ht="17.25" customHeight="1">
      <c r="A74" s="100">
        <f t="shared" si="24"/>
        <v>72.63499999999999</v>
      </c>
      <c r="B74" s="8">
        <f t="shared" si="14"/>
        <v>4.6240877165919265</v>
      </c>
      <c r="C74" s="20">
        <f t="shared" si="15"/>
        <v>4</v>
      </c>
      <c r="D74" s="21">
        <f t="shared" si="16"/>
        <v>37</v>
      </c>
      <c r="E74" s="22">
        <f t="shared" si="17"/>
        <v>26</v>
      </c>
      <c r="F74" s="23">
        <f t="shared" si="18"/>
        <v>72.55617570124069</v>
      </c>
      <c r="G74" s="9"/>
      <c r="H74" s="8">
        <f t="shared" si="19"/>
        <v>0.08070555555555554</v>
      </c>
      <c r="I74" s="9"/>
      <c r="J74" s="9">
        <f t="shared" si="23"/>
        <v>240</v>
      </c>
      <c r="K74" s="50">
        <f t="shared" si="20"/>
        <v>2.5429673364787346</v>
      </c>
      <c r="L74" s="30">
        <f t="shared" si="21"/>
        <v>-37542.76657483904</v>
      </c>
      <c r="M74" s="30">
        <f t="shared" si="22"/>
        <v>16146.008029071618</v>
      </c>
      <c r="N74" s="37"/>
    </row>
    <row r="75" spans="1:14" ht="17.25" customHeight="1">
      <c r="A75" s="100">
        <f t="shared" si="24"/>
        <v>92.63499999999999</v>
      </c>
      <c r="B75" s="8">
        <f t="shared" si="14"/>
        <v>5.8973272613270895</v>
      </c>
      <c r="C75" s="20">
        <f t="shared" si="15"/>
        <v>5</v>
      </c>
      <c r="D75" s="21">
        <f t="shared" si="16"/>
        <v>53</v>
      </c>
      <c r="E75" s="22">
        <f t="shared" si="17"/>
        <v>50</v>
      </c>
      <c r="F75" s="23">
        <f t="shared" si="18"/>
        <v>92.4715221200988</v>
      </c>
      <c r="G75" s="9"/>
      <c r="H75" s="8">
        <f t="shared" si="19"/>
        <v>0.10292777777777777</v>
      </c>
      <c r="I75" s="9"/>
      <c r="J75" s="9">
        <f t="shared" si="23"/>
        <v>260</v>
      </c>
      <c r="K75" s="50">
        <f t="shared" si="20"/>
        <v>2.565189558700957</v>
      </c>
      <c r="L75" s="30">
        <f t="shared" si="21"/>
        <v>-37560.35786976287</v>
      </c>
      <c r="M75" s="30">
        <f t="shared" si="22"/>
        <v>16155.520153104491</v>
      </c>
      <c r="N75" s="37"/>
    </row>
    <row r="76" spans="1:14" ht="17.25" customHeight="1">
      <c r="A76" s="100">
        <f t="shared" si="24"/>
        <v>112.63499999999999</v>
      </c>
      <c r="B76" s="8">
        <f t="shared" si="14"/>
        <v>7.170566806062252</v>
      </c>
      <c r="C76" s="20">
        <f t="shared" si="15"/>
        <v>7</v>
      </c>
      <c r="D76" s="21">
        <f t="shared" si="16"/>
        <v>10</v>
      </c>
      <c r="E76" s="22">
        <f t="shared" si="17"/>
        <v>14</v>
      </c>
      <c r="F76" s="23">
        <f t="shared" si="18"/>
        <v>112.3412054689469</v>
      </c>
      <c r="G76" s="9"/>
      <c r="H76" s="8">
        <f t="shared" si="19"/>
        <v>0.12514999999999998</v>
      </c>
      <c r="I76" s="9"/>
      <c r="J76" s="9">
        <f t="shared" si="23"/>
        <v>280</v>
      </c>
      <c r="K76" s="50">
        <f t="shared" si="20"/>
        <v>2.5874117809231794</v>
      </c>
      <c r="L76" s="30">
        <f t="shared" si="21"/>
        <v>-37578.354415329275</v>
      </c>
      <c r="M76" s="30">
        <f t="shared" si="22"/>
        <v>16164.24130603229</v>
      </c>
      <c r="N76" s="37"/>
    </row>
    <row r="77" spans="1:14" ht="17.25" customHeight="1">
      <c r="A77" s="100">
        <f t="shared" si="24"/>
      </c>
      <c r="B77" s="8">
        <f t="shared" si="14"/>
      </c>
      <c r="C77" s="20">
        <f t="shared" si="15"/>
      </c>
      <c r="D77" s="21">
        <f t="shared" si="16"/>
      </c>
      <c r="E77" s="22">
        <f t="shared" si="17"/>
      </c>
      <c r="F77" s="23">
        <f t="shared" si="18"/>
      </c>
      <c r="G77" s="9"/>
      <c r="H77" s="8">
        <f t="shared" si="19"/>
      </c>
      <c r="I77" s="9"/>
      <c r="J77" s="9">
        <f t="shared" si="23"/>
      </c>
      <c r="K77" s="50">
        <f t="shared" si="20"/>
      </c>
      <c r="L77" s="30">
        <f t="shared" si="21"/>
      </c>
      <c r="M77" s="30">
        <f t="shared" si="22"/>
      </c>
      <c r="N77" s="37"/>
    </row>
    <row r="78" spans="1:14" ht="17.25" customHeight="1">
      <c r="A78" s="100">
        <f t="shared" si="24"/>
      </c>
      <c r="B78" s="8">
        <f t="shared" si="14"/>
      </c>
      <c r="C78" s="20">
        <f t="shared" si="15"/>
      </c>
      <c r="D78" s="21">
        <f t="shared" si="16"/>
      </c>
      <c r="E78" s="22">
        <f t="shared" si="17"/>
      </c>
      <c r="F78" s="23">
        <f t="shared" si="18"/>
      </c>
      <c r="G78" s="9"/>
      <c r="H78" s="8">
        <f t="shared" si="19"/>
      </c>
      <c r="I78" s="9"/>
      <c r="J78" s="9">
        <f t="shared" si="23"/>
      </c>
      <c r="K78" s="50">
        <f t="shared" si="20"/>
      </c>
      <c r="L78" s="30">
        <f t="shared" si="21"/>
      </c>
      <c r="M78" s="30">
        <f t="shared" si="22"/>
      </c>
      <c r="N78" s="37"/>
    </row>
    <row r="79" spans="1:14" ht="17.25" customHeight="1">
      <c r="A79" s="104"/>
      <c r="B79" s="31"/>
      <c r="C79" s="32"/>
      <c r="D79" s="32"/>
      <c r="E79" s="33"/>
      <c r="F79" s="34"/>
      <c r="G79" s="85"/>
      <c r="H79" s="88"/>
      <c r="I79" s="85"/>
      <c r="J79" s="85"/>
      <c r="K79" s="105"/>
      <c r="L79" s="37"/>
      <c r="M79" s="37"/>
      <c r="N79" s="37"/>
    </row>
    <row r="80" spans="1:11" ht="17.25" customHeight="1">
      <c r="A80" s="97" t="s">
        <v>114</v>
      </c>
      <c r="B80" s="53" t="s">
        <v>104</v>
      </c>
      <c r="G80" s="3"/>
      <c r="H80" s="3"/>
      <c r="I80" s="3"/>
      <c r="J80" s="3"/>
      <c r="K80" s="3"/>
    </row>
    <row r="81" spans="1:14" ht="17.25" customHeight="1">
      <c r="A81" s="69" t="s">
        <v>30</v>
      </c>
      <c r="B81" s="69" t="s">
        <v>8</v>
      </c>
      <c r="C81" s="158" t="s">
        <v>42</v>
      </c>
      <c r="D81" s="158"/>
      <c r="E81" s="158"/>
      <c r="F81" s="73" t="s">
        <v>108</v>
      </c>
      <c r="G81" s="133"/>
      <c r="H81" s="134"/>
      <c r="I81" s="135"/>
      <c r="J81" s="136"/>
      <c r="K81" s="65" t="s">
        <v>107</v>
      </c>
      <c r="L81" s="59" t="s">
        <v>10</v>
      </c>
      <c r="M81" s="59" t="s">
        <v>130</v>
      </c>
      <c r="N81" s="145"/>
    </row>
    <row r="82" spans="1:15" ht="17.25" customHeight="1">
      <c r="A82" s="137">
        <f>A32</f>
        <v>4.25</v>
      </c>
      <c r="B82" s="50">
        <f>IF(2*PI()&lt;(B63*$A$15-90)*$A$13,(B63*$A$15-90)*$A$13-2*PI(),(B63*$A$15-90)*$A$13)</f>
        <v>0.8914654541282829</v>
      </c>
      <c r="C82" s="17">
        <f>IF(A82&gt;$F$11,"",TRUNC(B82*$A$15))</f>
        <v>51</v>
      </c>
      <c r="D82" s="4">
        <f>IF(A82&gt;$F$11,"",TRUNC((B82*$A$15-C82)*60))</f>
        <v>4</v>
      </c>
      <c r="E82" s="4">
        <f>IF(A82&gt;$F$11,"",TRUNC(((B82*$A$15-C82)*60-D82)*60))</f>
        <v>37</v>
      </c>
      <c r="F82" s="74">
        <f>IF($B$19=0,$B$11-A82,IF($B$19=1,$B$11+A82,""))</f>
        <v>454.25</v>
      </c>
      <c r="G82" s="56"/>
      <c r="H82" s="31"/>
      <c r="I82" s="35"/>
      <c r="J82" s="26"/>
      <c r="K82" s="60" t="s">
        <v>133</v>
      </c>
      <c r="L82" s="30">
        <f>L56+A82*COS(B82)</f>
        <v>-37480.15695863261</v>
      </c>
      <c r="M82" s="30">
        <f>M56+A82*SIN(B82)</f>
        <v>16108.428561123157</v>
      </c>
      <c r="N82" s="37"/>
      <c r="O82" s="26"/>
    </row>
    <row r="83" spans="1:15" ht="17.25" customHeight="1">
      <c r="A83" s="138">
        <f>A33</f>
        <v>4.25</v>
      </c>
      <c r="B83" s="50">
        <f>IF(2*PI()&lt;(B63*$A$15+90)*$A$13,(B63*$A$15+90)*$A$13-2*PI(),(B63*$A$15+90)*$A$13)</f>
        <v>4.033058107718076</v>
      </c>
      <c r="C83" s="17">
        <f>IF(A83&gt;$F$11,"",TRUNC(B83*$A$15))</f>
        <v>231</v>
      </c>
      <c r="D83" s="4">
        <f>IF(A83&gt;$F$11,"",TRUNC((B83*$A$15-C83)*60))</f>
        <v>4</v>
      </c>
      <c r="E83" s="4">
        <f>IF(A83&gt;$F$11,"",TRUNC(((B83*$A$15-C83)*60-D83)*60))</f>
        <v>37</v>
      </c>
      <c r="F83" s="74">
        <f>IF($B$19=0,$B$11+A83,IF($B$19=1,$B$11-A83,""))</f>
        <v>445.75</v>
      </c>
      <c r="G83" s="89"/>
      <c r="H83" s="86"/>
      <c r="I83" s="84"/>
      <c r="J83" s="98"/>
      <c r="K83" s="60" t="s">
        <v>134</v>
      </c>
      <c r="L83" s="93">
        <f>L56+A83*COS(B83)</f>
        <v>-37485.49727563173</v>
      </c>
      <c r="M83" s="93">
        <f>M56+A83*SIN(B83)</f>
        <v>16101.815618181558</v>
      </c>
      <c r="N83" s="146"/>
      <c r="O83" s="26"/>
    </row>
    <row r="84" spans="1:14" ht="17.25" customHeight="1">
      <c r="A84" s="77" t="s">
        <v>115</v>
      </c>
      <c r="B84" s="78" t="s">
        <v>147</v>
      </c>
      <c r="C84" s="158" t="s">
        <v>42</v>
      </c>
      <c r="D84" s="158"/>
      <c r="E84" s="158"/>
      <c r="F84" s="149" t="s">
        <v>148</v>
      </c>
      <c r="G84" s="149" t="s">
        <v>148</v>
      </c>
      <c r="H84" s="57"/>
      <c r="I84" s="58"/>
      <c r="J84" s="58"/>
      <c r="K84" s="75" t="s">
        <v>116</v>
      </c>
      <c r="L84" s="59" t="s">
        <v>10</v>
      </c>
      <c r="M84" s="59" t="s">
        <v>130</v>
      </c>
      <c r="N84" s="145"/>
    </row>
    <row r="85" spans="1:14" ht="17.25" customHeight="1">
      <c r="A85" s="156">
        <f>A71</f>
        <v>12.634999999999991</v>
      </c>
      <c r="B85" s="50">
        <f>IF(A85&gt;$F$11,"",G85*$A$13)</f>
        <v>0.9195432319060608</v>
      </c>
      <c r="C85" s="17">
        <f>IF(A85&gt;$F$11,"",TRUNC(B85*$A$15))</f>
        <v>52</v>
      </c>
      <c r="D85" s="4">
        <f>IF(A85&gt;$F$11,"",TRUNC((B85*$A$15-C85)*60))</f>
        <v>41</v>
      </c>
      <c r="E85" s="4">
        <f>IF(A85&gt;$F$11,"",TRUNC(((B85*$A$15-C85)*60-D85)*60))</f>
        <v>9</v>
      </c>
      <c r="F85" s="150">
        <f>IF(A85&gt;$F$11,"",IF($B$19=0,K71*$A$15-(90+B71),IF($B$19=1,K71*$A$15-(90-B71))))</f>
        <v>52.68594626803679</v>
      </c>
      <c r="G85" s="150">
        <f>IF(F85="","",IF(F85&gt;360,F85-360,F85))</f>
        <v>52.68594626803679</v>
      </c>
      <c r="H85" s="81"/>
      <c r="I85" s="82"/>
      <c r="J85" s="83"/>
      <c r="K85" s="159">
        <f>G61</f>
        <v>180</v>
      </c>
      <c r="L85" s="72">
        <f>IF(A85&gt;$F$11,"",L71+$A$32*COS(B85))</f>
        <v>-37490.190927430885</v>
      </c>
      <c r="M85" s="152">
        <f>IF(A85&gt;$F$11,"",M71+$A$32*SIN(B85))</f>
        <v>16116.301408845819</v>
      </c>
      <c r="N85" s="147"/>
    </row>
    <row r="86" spans="1:14" ht="17.25" customHeight="1">
      <c r="A86" s="157"/>
      <c r="B86" s="55">
        <f>IF(A85&gt;$F$11,"",G86*$A$13)</f>
        <v>4.061135885495854</v>
      </c>
      <c r="C86" s="17">
        <f>IF(A85&gt;$F$11,"",TRUNC(B86*$A$15))</f>
        <v>232</v>
      </c>
      <c r="D86" s="4">
        <f>IF(A85&gt;$F$11,"",TRUNC((B86*$A$15-C86)*60))</f>
        <v>41</v>
      </c>
      <c r="E86" s="4">
        <f>IF(A85&gt;$F$11,"",TRUNC(((B86*$A$15-C86)*60-D86)*60))</f>
        <v>9</v>
      </c>
      <c r="F86" s="150">
        <f>IF(A85&gt;$F$11,"",IF($B$19=0,K71*$A$15+(90-B71),IF($B$19=1,K71*$A$15+(90+B71))))</f>
        <v>232.6859462680368</v>
      </c>
      <c r="G86" s="150">
        <f>IF(F86="","",IF(F86&gt;360,F86-360,F86))</f>
        <v>232.6859462680368</v>
      </c>
      <c r="H86" s="3"/>
      <c r="I86" s="79"/>
      <c r="J86" s="80"/>
      <c r="K86" s="160"/>
      <c r="L86" s="94">
        <f>IF(A85&gt;$F$11,"",L71+$A$33*COS(B86))</f>
        <v>-37495.34348717127</v>
      </c>
      <c r="M86" s="153">
        <f>IF(A85&gt;$F$11,"",M71+$A$33*SIN(B86))</f>
        <v>16109.5411478951</v>
      </c>
      <c r="N86" s="148"/>
    </row>
    <row r="87" spans="1:14" ht="17.25" customHeight="1">
      <c r="A87" s="156">
        <f>A72</f>
        <v>32.63499999999999</v>
      </c>
      <c r="B87" s="50">
        <f>IF(A87&gt;$F$11,"",G87*$A$13)</f>
        <v>0.9639876763505048</v>
      </c>
      <c r="C87" s="17">
        <f>IF(A87&gt;$F$11,"",TRUNC(B87*$A$15))</f>
        <v>55</v>
      </c>
      <c r="D87" s="4">
        <f>IF(A87&gt;$F$11,"",TRUNC((B87*$A$15-C87)*60))</f>
        <v>13</v>
      </c>
      <c r="E87" s="4">
        <f>IF(A87&gt;$F$11,"",TRUNC(((B87*$A$15-C87)*60-D87)*60))</f>
        <v>56</v>
      </c>
      <c r="F87" s="150">
        <f>IF(A87&gt;$F$11,"",IF($B$19=0,K72*$A$15-(90+B72),IF($B$19=1,K72*$A$15-(90-B72))))</f>
        <v>55.23242535750708</v>
      </c>
      <c r="G87" s="150">
        <f aca="true" t="shared" si="25" ref="G87:G100">IF(F87="","",IF(F87&gt;360,F87-360,F87))</f>
        <v>55.23242535750708</v>
      </c>
      <c r="H87" s="81"/>
      <c r="I87" s="82"/>
      <c r="J87" s="83"/>
      <c r="K87" s="159">
        <f>IF(K85="","",IF(K85+$L$11&gt;$F$61+$G$63,"",K85+$L$11))</f>
        <v>200</v>
      </c>
      <c r="L87" s="72">
        <f>IF(A87&gt;$F$11,"",L72+$A$32*COS(B87))</f>
        <v>-37506.51428076262</v>
      </c>
      <c r="M87" s="152">
        <f>IF(A87&gt;$F$11,"",M72+$A$32*SIN(B87))</f>
        <v>16128.178794155117</v>
      </c>
      <c r="N87" s="147"/>
    </row>
    <row r="88" spans="1:14" ht="17.25" customHeight="1">
      <c r="A88" s="157"/>
      <c r="B88" s="55">
        <f>IF(A87&gt;$F$11,"",G88*$A$13)</f>
        <v>4.105580329940298</v>
      </c>
      <c r="C88" s="17">
        <f>IF(A87&gt;$F$11,"",TRUNC(B88*$A$15))</f>
        <v>235</v>
      </c>
      <c r="D88" s="4">
        <f>IF(A87&gt;$F$11,"",TRUNC((B88*$A$15-C88)*60))</f>
        <v>13</v>
      </c>
      <c r="E88" s="4">
        <f>IF(A87&gt;$F$11,"",TRUNC(((B88*$A$15-C88)*60-D88)*60))</f>
        <v>56</v>
      </c>
      <c r="F88" s="150">
        <f>IF(A87&gt;$F$11,"",IF($B$19=0,K72*$A$15+(90-B72),IF($B$19=1,K72*$A$15+(90+B72))))</f>
        <v>235.23242535750708</v>
      </c>
      <c r="G88" s="150">
        <f t="shared" si="25"/>
        <v>235.23242535750708</v>
      </c>
      <c r="H88" s="3"/>
      <c r="I88" s="79"/>
      <c r="J88" s="80"/>
      <c r="K88" s="160"/>
      <c r="L88" s="94">
        <f>IF(A87&gt;$F$11,"",L72+$A$33*COS(B88))</f>
        <v>-37511.36139525628</v>
      </c>
      <c r="M88" s="153">
        <f>IF(A87&gt;$F$11,"",M72+$A$33*SIN(B88))</f>
        <v>16121.196281635594</v>
      </c>
      <c r="N88" s="148"/>
    </row>
    <row r="89" spans="1:14" ht="17.25" customHeight="1">
      <c r="A89" s="156">
        <f>A73</f>
        <v>52.63499999999999</v>
      </c>
      <c r="B89" s="50">
        <f>IF(A89&gt;$F$11,"",G89*$A$13)</f>
        <v>1.0084321207949491</v>
      </c>
      <c r="C89" s="17">
        <f>IF(A89&gt;$F$11,"",TRUNC(B89*$A$15))</f>
        <v>57</v>
      </c>
      <c r="D89" s="4">
        <f>IF(A89&gt;$F$11,"",TRUNC((B89*$A$15-C89)*60))</f>
        <v>46</v>
      </c>
      <c r="E89" s="4">
        <f>IF(A89&gt;$F$11,"",TRUNC(((B89*$A$15-C89)*60-D89)*60))</f>
        <v>44</v>
      </c>
      <c r="F89" s="150">
        <f>IF(A89&gt;$F$11,"",IF($B$19=0,K73*$A$15-(90+B73),IF($B$19=1,K73*$A$15-(90-B73))))</f>
        <v>57.77890444697741</v>
      </c>
      <c r="G89" s="150">
        <f t="shared" si="25"/>
        <v>57.77890444697741</v>
      </c>
      <c r="H89" s="81"/>
      <c r="I89" s="82"/>
      <c r="J89" s="83"/>
      <c r="K89" s="159">
        <f>IF(K87="","",IF(K87+$L$11&gt;$F$61+$G$63,"",K87+$L$11))</f>
        <v>220</v>
      </c>
      <c r="L89" s="72">
        <f>IF(A89&gt;$F$11,"",L73+$A$32*COS(B89))</f>
        <v>-37523.3492249373</v>
      </c>
      <c r="M89" s="152">
        <f>IF(A89&gt;$F$11,"",M73+$A$32*SIN(B89))</f>
        <v>16139.319207092401</v>
      </c>
      <c r="N89" s="147"/>
    </row>
    <row r="90" spans="1:14" ht="17.25" customHeight="1">
      <c r="A90" s="157"/>
      <c r="B90" s="55">
        <f>IF(A89&gt;$F$11,"",G90*$A$13)</f>
        <v>4.150024774384742</v>
      </c>
      <c r="C90" s="17">
        <f>IF(A89&gt;$F$11,"",TRUNC(B90*$A$15))</f>
        <v>237</v>
      </c>
      <c r="D90" s="4">
        <f>IF(A89&gt;$F$11,"",TRUNC((B90*$A$15-C90)*60))</f>
        <v>46</v>
      </c>
      <c r="E90" s="4">
        <f>IF(A89&gt;$F$11,"",TRUNC(((B90*$A$15-C90)*60-D90)*60))</f>
        <v>44</v>
      </c>
      <c r="F90" s="150">
        <f>IF(A89&gt;$F$11,"",IF($B$19=0,K73*$A$15+(90-B73),IF($B$19=1,K73*$A$15+(90+B73))))</f>
        <v>237.7789044469774</v>
      </c>
      <c r="G90" s="150">
        <f t="shared" si="25"/>
        <v>237.7789044469774</v>
      </c>
      <c r="H90" s="3"/>
      <c r="I90" s="79"/>
      <c r="J90" s="80"/>
      <c r="K90" s="160"/>
      <c r="L90" s="94">
        <f>IF(A89&gt;$F$11,"",L73+$A$33*COS(B90))</f>
        <v>-37527.881321213055</v>
      </c>
      <c r="M90" s="153">
        <f>IF(A89&gt;$F$11,"",M73+$A$33*SIN(B90))</f>
        <v>16132.128233351155</v>
      </c>
      <c r="N90" s="148"/>
    </row>
    <row r="91" spans="1:14" ht="17.25" customHeight="1">
      <c r="A91" s="156">
        <f>A74</f>
        <v>72.63499999999999</v>
      </c>
      <c r="B91" s="50">
        <f>IF(A91&gt;$F$11,"",G91*$A$13)</f>
        <v>1.0528765652393937</v>
      </c>
      <c r="C91" s="17">
        <f>IF(A91&gt;$F$11,"",TRUNC(B91*$A$15))</f>
        <v>60</v>
      </c>
      <c r="D91" s="4">
        <f>IF(A91&gt;$F$11,"",TRUNC((B91*$A$15-C91)*60))</f>
        <v>19</v>
      </c>
      <c r="E91" s="4">
        <f>IF(A91&gt;$F$11,"",TRUNC(((B91*$A$15-C91)*60-D91)*60))</f>
        <v>31</v>
      </c>
      <c r="F91" s="150">
        <f>IF(A91&gt;$F$11,"",IF($B$19=0,K74*$A$15-(90+B74),IF($B$19=1,K74*$A$15-(90-B74))))</f>
        <v>60.32538353644773</v>
      </c>
      <c r="G91" s="150">
        <f t="shared" si="25"/>
        <v>60.32538353644773</v>
      </c>
      <c r="H91" s="81"/>
      <c r="I91" s="82"/>
      <c r="J91" s="83"/>
      <c r="K91" s="159">
        <f>IF(K89="","",IF(K89+$L$11&gt;$F$61+$G$63,"",K89+$L$11))</f>
        <v>240</v>
      </c>
      <c r="L91" s="72">
        <f>IF(A91&gt;$F$11,"",L74+$A$32*COS(B91))</f>
        <v>-37540.66251121782</v>
      </c>
      <c r="M91" s="152">
        <f>IF(A91&gt;$F$11,"",M74+$A$32*SIN(B91))</f>
        <v>16149.700645525822</v>
      </c>
      <c r="N91" s="147"/>
    </row>
    <row r="92" spans="1:14" ht="17.25" customHeight="1">
      <c r="A92" s="157"/>
      <c r="B92" s="55">
        <f>IF(A91&gt;$F$11,"",G92*$A$13)</f>
        <v>4.1944692188291866</v>
      </c>
      <c r="C92" s="17">
        <f>IF(A91&gt;$F$11,"",TRUNC(B92*$A$15))</f>
        <v>240</v>
      </c>
      <c r="D92" s="4">
        <f>IF(A91&gt;$F$11,"",TRUNC((B92*$A$15-C92)*60))</f>
        <v>19</v>
      </c>
      <c r="E92" s="4">
        <f>IF(A91&gt;$F$11,"",TRUNC(((B92*$A$15-C92)*60-D92)*60))</f>
        <v>31</v>
      </c>
      <c r="F92" s="150">
        <f>IF(A91&gt;$F$11,"",IF($B$19=0,K74*$A$15+(90-B74),IF($B$19=1,K74*$A$15+(90+B74))))</f>
        <v>240.32538353644773</v>
      </c>
      <c r="G92" s="150">
        <f t="shared" si="25"/>
        <v>240.32538353644773</v>
      </c>
      <c r="H92" s="3"/>
      <c r="I92" s="79"/>
      <c r="J92" s="80"/>
      <c r="K92" s="160"/>
      <c r="L92" s="94">
        <f>IF(A91&gt;$F$11,"",L74+$A$33*COS(B92))</f>
        <v>-37544.87063846026</v>
      </c>
      <c r="M92" s="153">
        <f>IF(A91&gt;$F$11,"",M74+$A$33*SIN(B92))</f>
        <v>16142.315412617414</v>
      </c>
      <c r="N92" s="148"/>
    </row>
    <row r="93" spans="1:14" ht="17.25" customHeight="1">
      <c r="A93" s="156">
        <f>A75</f>
        <v>92.63499999999999</v>
      </c>
      <c r="B93" s="50">
        <f>IF(A93&gt;$F$11,"",G93*$A$13)</f>
        <v>1.0973210096838386</v>
      </c>
      <c r="C93" s="17">
        <f>IF(A93&gt;$F$11,"",TRUNC(B93*$A$15))</f>
        <v>62</v>
      </c>
      <c r="D93" s="4">
        <f>IF(A93&gt;$F$11,"",TRUNC((B93*$A$15-C93)*60))</f>
        <v>52</v>
      </c>
      <c r="E93" s="4">
        <f>IF(A93&gt;$F$11,"",TRUNC(((B93*$A$15-C93)*60-D93)*60))</f>
        <v>18</v>
      </c>
      <c r="F93" s="150">
        <f>IF(A93&gt;$F$11,"",IF($B$19=0,K75*$A$15-(90+B75),IF($B$19=1,K75*$A$15-(90-B75))))</f>
        <v>62.871862625918084</v>
      </c>
      <c r="G93" s="150">
        <f t="shared" si="25"/>
        <v>62.871862625918084</v>
      </c>
      <c r="H93" s="81"/>
      <c r="I93" s="82"/>
      <c r="J93" s="83"/>
      <c r="K93" s="159">
        <f>IF(K91="","",IF(K91+$L$11&gt;$F$61+$G$63,"",K91+$L$11))</f>
        <v>260</v>
      </c>
      <c r="L93" s="72">
        <f>IF(A93&gt;$F$11,"",L75+$A$32*COS(B93))</f>
        <v>-37558.41994614926</v>
      </c>
      <c r="M93" s="152">
        <f>IF(A93&gt;$F$11,"",M75+$A$32*SIN(B93))</f>
        <v>16159.302606285673</v>
      </c>
      <c r="N93" s="147"/>
    </row>
    <row r="94" spans="1:14" ht="17.25" customHeight="1">
      <c r="A94" s="157"/>
      <c r="B94" s="55">
        <f>IF(A93&gt;$F$11,"",G94*$A$13)</f>
        <v>4.238913663273632</v>
      </c>
      <c r="C94" s="17">
        <f>IF(A93&gt;$F$11,"",TRUNC(B94*$A$15))</f>
        <v>242</v>
      </c>
      <c r="D94" s="4">
        <f>IF(A93&gt;$F$11,"",TRUNC((B94*$A$15-C94)*60))</f>
        <v>52</v>
      </c>
      <c r="E94" s="4">
        <f>IF(A93&gt;$F$11,"",TRUNC(((B94*$A$15-C94)*60-D94)*60))</f>
        <v>18</v>
      </c>
      <c r="F94" s="150">
        <f>IF(A93&gt;$F$11,"",IF($B$19=0,K75*$A$15+(90-B75),IF($B$19=1,K75*$A$15+(90+B75))))</f>
        <v>242.87186262591808</v>
      </c>
      <c r="G94" s="150">
        <f t="shared" si="25"/>
        <v>242.87186262591808</v>
      </c>
      <c r="H94" s="3"/>
      <c r="I94" s="79"/>
      <c r="J94" s="80"/>
      <c r="K94" s="160"/>
      <c r="L94" s="94">
        <f>IF(A93&gt;$F$11,"",L75+$A$33*COS(B94))</f>
        <v>-37562.29579337648</v>
      </c>
      <c r="M94" s="153">
        <f>IF(A93&gt;$F$11,"",M75+$A$33*SIN(B94))</f>
        <v>16151.73769992331</v>
      </c>
      <c r="N94" s="148"/>
    </row>
    <row r="95" spans="1:14" ht="17.25" customHeight="1">
      <c r="A95" s="156">
        <f>A76</f>
        <v>112.63499999999999</v>
      </c>
      <c r="B95" s="50">
        <f>IF(A95&gt;$F$11,"",G95*$A$13)</f>
        <v>1.141765454128283</v>
      </c>
      <c r="C95" s="17">
        <f>IF(A95&gt;$F$11,"",TRUNC(B95*$A$15))</f>
        <v>65</v>
      </c>
      <c r="D95" s="4">
        <f>IF(A95&gt;$F$11,"",TRUNC((B95*$A$15-C95)*60))</f>
        <v>25</v>
      </c>
      <c r="E95" s="4">
        <f>IF(A95&gt;$F$11,"",TRUNC(((B95*$A$15-C95)*60-D95)*60))</f>
        <v>6</v>
      </c>
      <c r="F95" s="150">
        <f>IF(A95&gt;$F$11,"",IF($B$19=0,K76*$A$15-(90+B76),IF($B$19=1,K76*$A$15-(90-B76))))</f>
        <v>65.41834171538841</v>
      </c>
      <c r="G95" s="150">
        <f t="shared" si="25"/>
        <v>65.41834171538841</v>
      </c>
      <c r="H95" s="81"/>
      <c r="I95" s="82"/>
      <c r="J95" s="83"/>
      <c r="K95" s="159">
        <f>IF(K93="","",IF(K93+$L$11&gt;$F$61+$G$63,"",K93+$L$11))</f>
        <v>280</v>
      </c>
      <c r="L95" s="72">
        <f>IF(A95&gt;$F$11,"",L76+$A$32*COS(B95))</f>
        <v>-37576.58645909046</v>
      </c>
      <c r="M95" s="152">
        <f>IF(A95&gt;$F$11,"",M76+$A$32*SIN(B95))</f>
        <v>16168.10612565779</v>
      </c>
      <c r="N95" s="147"/>
    </row>
    <row r="96" spans="1:14" ht="17.25" customHeight="1">
      <c r="A96" s="157"/>
      <c r="B96" s="55">
        <f>IF(A95&gt;$F$11,"",G96*$A$13)</f>
        <v>4.283358107718076</v>
      </c>
      <c r="C96" s="17">
        <f>IF(A95&gt;$F$11,"",TRUNC(B96*$A$15))</f>
        <v>245</v>
      </c>
      <c r="D96" s="4">
        <f>IF(A95&gt;$F$11,"",TRUNC((B96*$A$15-C96)*60))</f>
        <v>25</v>
      </c>
      <c r="E96" s="4">
        <f>IF(A95&gt;$F$11,"",TRUNC(((B96*$A$15-C96)*60-D96)*60))</f>
        <v>6</v>
      </c>
      <c r="F96" s="150">
        <f>IF(A95&gt;$F$11,"",IF($B$19=0,K76*$A$15+(90-B76),IF($B$19=1,K76*$A$15+(90+B76))))</f>
        <v>245.4183417153884</v>
      </c>
      <c r="G96" s="150">
        <f t="shared" si="25"/>
        <v>245.4183417153884</v>
      </c>
      <c r="H96" s="3"/>
      <c r="I96" s="79"/>
      <c r="J96" s="80"/>
      <c r="K96" s="160"/>
      <c r="L96" s="94">
        <f>IF(A95&gt;$F$11,"",L76+$A$33*COS(B96))</f>
        <v>-37580.12237156809</v>
      </c>
      <c r="M96" s="153">
        <f>IF(A95&gt;$F$11,"",M76+$A$33*SIN(B96))</f>
        <v>16160.37648640679</v>
      </c>
      <c r="N96" s="148"/>
    </row>
    <row r="97" spans="1:14" ht="17.25" customHeight="1">
      <c r="A97" s="156">
        <f>A77</f>
      </c>
      <c r="B97" s="50">
        <f>IF(A97&gt;$F$11,"",G97*$A$13)</f>
      </c>
      <c r="C97" s="17">
        <f>IF(A97&gt;$F$11,"",TRUNC(B97*$A$15))</f>
      </c>
      <c r="D97" s="4">
        <f>IF(A97&gt;$F$11,"",TRUNC((B97*$A$15-C97)*60))</f>
      </c>
      <c r="E97" s="4">
        <f>IF(A97&gt;$F$11,"",TRUNC(((B97*$A$15-C97)*60-D97)*60))</f>
      </c>
      <c r="F97" s="150">
        <f>IF(A97&gt;$F$11,"",IF($B$19=0,K77*$A$15-(90+B77),IF($B$19=1,K77*$A$15-(90-B77))))</f>
      </c>
      <c r="G97" s="150">
        <f t="shared" si="25"/>
      </c>
      <c r="H97" s="81"/>
      <c r="I97" s="82"/>
      <c r="J97" s="83"/>
      <c r="K97" s="159">
        <f>IF(K95="","",IF(K95+$L$11&gt;$F$61+$G$63,"",K95+$L$11))</f>
      </c>
      <c r="L97" s="72">
        <f>IF(A97&gt;$F$11,"",L77+$A$32*COS(B97))</f>
      </c>
      <c r="M97" s="152">
        <f>IF(A97&gt;$F$11,"",M77+$A$32*SIN(B97))</f>
      </c>
      <c r="N97" s="147"/>
    </row>
    <row r="98" spans="1:14" ht="17.25" customHeight="1">
      <c r="A98" s="157"/>
      <c r="B98" s="55">
        <f>IF(A97&gt;$F$11,"",G98*$A$13)</f>
      </c>
      <c r="C98" s="17">
        <f>IF(A97&gt;$F$11,"",TRUNC(B98*$A$15))</f>
      </c>
      <c r="D98" s="4">
        <f>IF(A97&gt;$F$11,"",TRUNC((B98*$A$15-C98)*60))</f>
      </c>
      <c r="E98" s="4">
        <f>IF(A97&gt;$F$11,"",TRUNC(((B98*$A$15-C98)*60-D98)*60))</f>
      </c>
      <c r="F98" s="150">
        <f>IF(A97&gt;$F$11,"",IF($B$19=0,K77*$A$15+(90-B77),IF($B$19=1,K77*$A$15+(90+B77))))</f>
      </c>
      <c r="G98" s="150">
        <f t="shared" si="25"/>
      </c>
      <c r="H98" s="3"/>
      <c r="I98" s="79"/>
      <c r="J98" s="80"/>
      <c r="K98" s="160"/>
      <c r="L98" s="94">
        <f>IF(A97&gt;$F$11,"",L77+$A$33*COS(B98))</f>
      </c>
      <c r="M98" s="153">
        <f>IF(A97&gt;$F$11,"",M77+$A$33*SIN(B98))</f>
      </c>
      <c r="N98" s="148"/>
    </row>
    <row r="99" spans="1:14" ht="17.25" customHeight="1">
      <c r="A99" s="156">
        <f>A78</f>
      </c>
      <c r="B99" s="50">
        <f>IF(A99&gt;$F$11,"",G99*$A$13)</f>
      </c>
      <c r="C99" s="17">
        <f>IF(A99&gt;$F$11,"",TRUNC(B99*$A$15))</f>
      </c>
      <c r="D99" s="4">
        <f>IF(A99&gt;$F$11,"",TRUNC((B99*$A$15-C99)*60))</f>
      </c>
      <c r="E99" s="4">
        <f>IF(A99&gt;$F$11,"",TRUNC(((B99*$A$15-C99)*60-D99)*60))</f>
      </c>
      <c r="F99" s="150">
        <f>IF(A99&gt;$F$11,"",IF($B$19=0,K78*$A$15-(90+B78),IF($B$19=1,K78*$A$15-(90-B78))))</f>
      </c>
      <c r="G99" s="150">
        <f t="shared" si="25"/>
      </c>
      <c r="H99" s="81"/>
      <c r="I99" s="82"/>
      <c r="J99" s="83"/>
      <c r="K99" s="159">
        <f>IF(K97="","",IF(K97+$L$11&gt;$F$61+$G$63,"",K97+$L$11))</f>
      </c>
      <c r="L99" s="72">
        <f>IF(A99&gt;$F$11,"",L78+$A$32*COS(B99))</f>
      </c>
      <c r="M99" s="152">
        <f>IF(A99&gt;$F$11,"",M78+$A$32*SIN(B99))</f>
      </c>
      <c r="N99" s="147"/>
    </row>
    <row r="100" spans="1:14" ht="17.25" customHeight="1">
      <c r="A100" s="157"/>
      <c r="B100" s="55">
        <f>IF(A99&gt;$F$11,"",G100*$A$13)</f>
      </c>
      <c r="C100" s="17">
        <f>IF(A99&gt;$F$11,"",TRUNC(B100*$A$15))</f>
      </c>
      <c r="D100" s="4">
        <f>IF(A99&gt;$F$11,"",TRUNC((B100*$A$15-C100)*60))</f>
      </c>
      <c r="E100" s="4">
        <f>IF(A99&gt;$F$11,"",TRUNC(((B100*$A$15-C100)*60-D100)*60))</f>
      </c>
      <c r="F100" s="150">
        <f>IF(A99&gt;$F$11,"",IF($B$19=0,K78*$A$15+(90-B78),IF($B$19=1,K78*$A$15+(90+B78))))</f>
      </c>
      <c r="G100" s="150">
        <f t="shared" si="25"/>
      </c>
      <c r="H100" s="3"/>
      <c r="I100" s="79"/>
      <c r="J100" s="80"/>
      <c r="K100" s="160"/>
      <c r="L100" s="94">
        <f>IF(A99&gt;$F$11,"",L78+$A$33*COS(B100))</f>
      </c>
      <c r="M100" s="153">
        <f>IF(A99&gt;$F$11,"",M78+$A$33*SIN(B100))</f>
      </c>
      <c r="N100" s="148"/>
    </row>
    <row r="104" ht="17.25" customHeight="1">
      <c r="A104" s="96" t="s">
        <v>118</v>
      </c>
    </row>
    <row r="105" spans="1:12" ht="17.25" customHeight="1">
      <c r="A105" s="69" t="s">
        <v>1</v>
      </c>
      <c r="B105" s="69" t="s">
        <v>2</v>
      </c>
      <c r="C105" s="167" t="s">
        <v>42</v>
      </c>
      <c r="D105" s="168"/>
      <c r="E105" s="169"/>
      <c r="F105" s="69" t="s">
        <v>3</v>
      </c>
      <c r="G105" s="69" t="s">
        <v>35</v>
      </c>
      <c r="H105" s="69" t="s">
        <v>49</v>
      </c>
      <c r="I105" s="69" t="s">
        <v>47</v>
      </c>
      <c r="J105" s="69" t="s">
        <v>125</v>
      </c>
      <c r="K105" s="69" t="s">
        <v>109</v>
      </c>
      <c r="L105" s="69" t="s">
        <v>110</v>
      </c>
    </row>
    <row r="106" spans="1:12" ht="17.25" customHeight="1">
      <c r="A106" s="115">
        <f>A11</f>
        <v>240</v>
      </c>
      <c r="B106" s="115">
        <f>B11</f>
        <v>450</v>
      </c>
      <c r="C106" s="116">
        <f>C11</f>
        <v>31</v>
      </c>
      <c r="D106" s="116">
        <f>D11</f>
        <v>19</v>
      </c>
      <c r="E106" s="116">
        <f>E11</f>
        <v>28</v>
      </c>
      <c r="F106" s="70">
        <f>A106^2/B106</f>
        <v>128</v>
      </c>
      <c r="G106" s="8">
        <f>A106^2/2/B106^2</f>
        <v>0.14222222222222222</v>
      </c>
      <c r="H106" s="9">
        <f>I110-H108</f>
        <v>64.65300000000002</v>
      </c>
      <c r="I106" s="10">
        <f>ATAN(G108/F108)</f>
        <v>0.04739639039298846</v>
      </c>
      <c r="J106" s="108">
        <v>413.385</v>
      </c>
      <c r="K106" s="109">
        <v>400</v>
      </c>
      <c r="L106" s="110">
        <v>20</v>
      </c>
    </row>
    <row r="107" spans="1:12" ht="17.25" customHeight="1">
      <c r="A107" s="125"/>
      <c r="B107" s="99" t="s">
        <v>8</v>
      </c>
      <c r="C107" s="167" t="s">
        <v>42</v>
      </c>
      <c r="D107" s="168"/>
      <c r="E107" s="169"/>
      <c r="F107" s="69" t="s">
        <v>90</v>
      </c>
      <c r="G107" s="69" t="s">
        <v>91</v>
      </c>
      <c r="H107" s="69" t="s">
        <v>15</v>
      </c>
      <c r="I107" s="69" t="s">
        <v>19</v>
      </c>
      <c r="J107" s="69" t="s">
        <v>12</v>
      </c>
      <c r="K107" s="28" t="s">
        <v>16</v>
      </c>
      <c r="L107" s="69" t="s">
        <v>5</v>
      </c>
    </row>
    <row r="108" spans="1:12" ht="17.25" customHeight="1">
      <c r="A108" s="126"/>
      <c r="B108" s="8">
        <f>I106*$A$15</f>
        <v>2.71561313367264</v>
      </c>
      <c r="C108" s="13">
        <f>TRUNC(I106*180/PI())</f>
        <v>2</v>
      </c>
      <c r="D108" s="14">
        <f>TRUNC((I106*180/PI()-C108)*60)</f>
        <v>42</v>
      </c>
      <c r="E108" s="15">
        <f>TRUNC(((I106*180/PI()-C108)*60-D108)*60)</f>
        <v>56</v>
      </c>
      <c r="F108" s="9">
        <f>ROUND(F106*(1-F106^2/40/$B$106^2+F106^4/3456/$B$106^4-F106^6/599040/$B$106^6),3)</f>
        <v>127.741</v>
      </c>
      <c r="G108" s="9">
        <f>ROUND(F106^2/6/$B$106*(1-F106^2/56/$B$106^2+F106^4/7040/$B$106^4-F106^6/1612800/$B$106^6),3)</f>
        <v>6.059</v>
      </c>
      <c r="H108" s="11">
        <f>ROUND(F108-B106*SIN(B110*$A$13),3)</f>
        <v>63.957</v>
      </c>
      <c r="I108" s="9">
        <f>B106+J108</f>
        <v>451.516</v>
      </c>
      <c r="J108" s="11">
        <f>ROUND(G108+B106*COS(G106)-B106,3)</f>
        <v>1.516</v>
      </c>
      <c r="K108" s="11">
        <f>ROUND(G108*1/SIN(G106),3)</f>
        <v>42.746</v>
      </c>
      <c r="L108" s="11">
        <f>C106+D106/100+E106/10000</f>
        <v>31.192800000000002</v>
      </c>
    </row>
    <row r="109" spans="1:12" ht="17.25" customHeight="1">
      <c r="A109" s="127"/>
      <c r="B109" s="99" t="s">
        <v>9</v>
      </c>
      <c r="C109" s="167" t="s">
        <v>42</v>
      </c>
      <c r="D109" s="168"/>
      <c r="E109" s="169"/>
      <c r="F109" s="69" t="s">
        <v>13</v>
      </c>
      <c r="G109" s="69" t="s">
        <v>14</v>
      </c>
      <c r="H109" s="69" t="s">
        <v>17</v>
      </c>
      <c r="I109" s="69" t="s">
        <v>18</v>
      </c>
      <c r="J109" s="69" t="s">
        <v>20</v>
      </c>
      <c r="K109" s="69" t="s">
        <v>21</v>
      </c>
      <c r="L109" s="69" t="s">
        <v>105</v>
      </c>
    </row>
    <row r="110" spans="1:12" ht="17.25" customHeight="1">
      <c r="A110" s="128"/>
      <c r="B110" s="8">
        <f>G106*$A$15</f>
        <v>8.148733086305041</v>
      </c>
      <c r="C110" s="17">
        <f>TRUNC(G106*180/PI())</f>
        <v>8</v>
      </c>
      <c r="D110" s="4">
        <f>TRUNC((G106*$A$15-C110)*60)</f>
        <v>8</v>
      </c>
      <c r="E110" s="18">
        <f>TRUNC(((G106*$A$15-C110)*60-D110)*60)</f>
        <v>55</v>
      </c>
      <c r="F110" s="11">
        <f>ROUND(F108-G108*1/TAN(G106),3)</f>
        <v>85.426</v>
      </c>
      <c r="G110" s="11">
        <f>ROUND(G108/SIN(I106),3)</f>
        <v>127.885</v>
      </c>
      <c r="H110" s="11">
        <f>ROUND(I108/COS(G106)-B106,3)</f>
        <v>6.121</v>
      </c>
      <c r="I110" s="9">
        <f>ROUND(F108+SQRT(H110^2-G108^2),3)</f>
        <v>128.61</v>
      </c>
      <c r="J110" s="11">
        <f>F108-F110</f>
        <v>42.315</v>
      </c>
      <c r="K110" s="11">
        <f>I110-F108</f>
        <v>0.869000000000014</v>
      </c>
      <c r="L110" s="10">
        <f>INT(L108)+INT((L108-INT(L108))/0.6*100)/100+((L108-INT(L108))-INT((L108-INT(L108))*100)/100)/0.6</f>
        <v>31.32466666666667</v>
      </c>
    </row>
    <row r="111" spans="2:12" ht="17.25" customHeight="1">
      <c r="B111" s="27" t="s">
        <v>64</v>
      </c>
      <c r="C111" s="163" t="s">
        <v>42</v>
      </c>
      <c r="D111" s="164"/>
      <c r="E111" s="165"/>
      <c r="F111" s="27" t="s">
        <v>126</v>
      </c>
      <c r="G111" s="161">
        <v>-37704.572</v>
      </c>
      <c r="H111" s="161"/>
      <c r="I111" s="27" t="s">
        <v>56</v>
      </c>
      <c r="J111" s="162">
        <f>J17</f>
        <v>-37521.171</v>
      </c>
      <c r="K111" s="162"/>
      <c r="L111" s="26"/>
    </row>
    <row r="112" spans="2:11" ht="17.25" customHeight="1">
      <c r="B112" s="8">
        <f>IF(H115&lt;0,PI()+H115+PI(),H115)</f>
        <v>6.008378943980468</v>
      </c>
      <c r="C112" s="17">
        <f>TRUNC(B112*$A$15)</f>
        <v>344</v>
      </c>
      <c r="D112" s="4">
        <f>TRUNC((B112*$A$15-C112)*60)</f>
        <v>15</v>
      </c>
      <c r="E112" s="18">
        <f>TRUNC(((B112*$A$15-C112)*60-D112)*60)</f>
        <v>17</v>
      </c>
      <c r="F112" s="27" t="s">
        <v>127</v>
      </c>
      <c r="G112" s="161">
        <v>16206.945</v>
      </c>
      <c r="H112" s="161"/>
      <c r="I112" s="27" t="s">
        <v>57</v>
      </c>
      <c r="J112" s="162">
        <f>J18</f>
        <v>16155.237</v>
      </c>
      <c r="K112" s="162"/>
    </row>
    <row r="113" spans="1:14" ht="17.25" customHeight="1">
      <c r="A113" s="96" t="s">
        <v>118</v>
      </c>
      <c r="B113" s="1" t="s">
        <v>28</v>
      </c>
      <c r="C113" s="111"/>
      <c r="D113" s="111"/>
      <c r="E113" s="111"/>
      <c r="F113" s="113"/>
      <c r="G113" s="114"/>
      <c r="H113" s="114"/>
      <c r="I113" s="113"/>
      <c r="J113" s="114"/>
      <c r="K113" s="112"/>
      <c r="L113" s="111"/>
      <c r="M113" s="111"/>
      <c r="N113" s="111"/>
    </row>
    <row r="114" spans="1:10" ht="17.25" customHeight="1">
      <c r="A114" s="127"/>
      <c r="B114" s="141"/>
      <c r="C114" s="19"/>
      <c r="D114" s="19"/>
      <c r="E114" s="2"/>
      <c r="F114" s="29" t="s">
        <v>60</v>
      </c>
      <c r="G114" s="29" t="s">
        <v>61</v>
      </c>
      <c r="H114" s="29" t="s">
        <v>58</v>
      </c>
      <c r="I114" s="29" t="s">
        <v>59</v>
      </c>
      <c r="J114" s="29" t="s">
        <v>64</v>
      </c>
    </row>
    <row r="115" spans="1:11" ht="17.25" customHeight="1">
      <c r="A115" s="1" t="s">
        <v>119</v>
      </c>
      <c r="B115" s="1" t="s">
        <v>45</v>
      </c>
      <c r="F115" s="9">
        <f>J111-G111</f>
        <v>183.40099999999802</v>
      </c>
      <c r="G115" s="9">
        <f>J112-G112</f>
        <v>-51.70800000000054</v>
      </c>
      <c r="H115" s="8">
        <f>IF(G115&gt;0,PI()+ATAN(G115/F115),ATAN(G115/F115))</f>
        <v>-0.27480636319911844</v>
      </c>
      <c r="I115" s="9">
        <f>SQRT(F115^2+G115^2)</f>
        <v>190.55089625871437</v>
      </c>
      <c r="J115" s="8">
        <f>H115*$A$15</f>
        <v>-15.74524479464871</v>
      </c>
      <c r="K115" s="12"/>
    </row>
    <row r="116" spans="1:14" ht="17.25" customHeight="1">
      <c r="A116" s="69" t="s">
        <v>30</v>
      </c>
      <c r="B116" s="69" t="s">
        <v>8</v>
      </c>
      <c r="C116" s="158" t="s">
        <v>42</v>
      </c>
      <c r="D116" s="158"/>
      <c r="E116" s="158"/>
      <c r="F116" s="69" t="s">
        <v>44</v>
      </c>
      <c r="G116" s="69" t="s">
        <v>2</v>
      </c>
      <c r="H116" s="69" t="s">
        <v>47</v>
      </c>
      <c r="I116" s="28" t="s">
        <v>90</v>
      </c>
      <c r="J116" s="28" t="s">
        <v>91</v>
      </c>
      <c r="K116" s="52" t="s">
        <v>63</v>
      </c>
      <c r="L116" s="29" t="s">
        <v>150</v>
      </c>
      <c r="M116" s="29" t="s">
        <v>151</v>
      </c>
      <c r="N116" s="145"/>
    </row>
    <row r="117" spans="1:14" ht="17.25" customHeight="1">
      <c r="A117" s="76">
        <f>IF(K106-J106&gt;$F$106,"",IF(J106-K106=$F$106,$F$106,J106-K106))</f>
        <v>13.384999999999991</v>
      </c>
      <c r="B117" s="8">
        <f aca="true" t="shared" si="26" ref="B117:B124">IF(A117&gt;$F$11,"",(H117*$A$15))</f>
        <v>0.029964170341961704</v>
      </c>
      <c r="C117" s="20">
        <f aca="true" t="shared" si="27" ref="C117:C124">IF(A117&gt;$F$11,"",INT(B117))</f>
        <v>0</v>
      </c>
      <c r="D117" s="21">
        <f aca="true" t="shared" si="28" ref="D117:D124">IF(A117&gt;$F$11,"",TRUNC((H117*$A$15-C117)*60))</f>
        <v>1</v>
      </c>
      <c r="E117" s="22">
        <f aca="true" t="shared" si="29" ref="E117:E124">IF(A117&gt;$F$11,"",TRUNC(((H117*$A$15-C117)*60-D117)*60))</f>
        <v>47</v>
      </c>
      <c r="F117" s="23">
        <f>IF(A117&gt;$F$11,"",IF(ISERROR(ROUND(J117/SIN(H117),3)),A117,ROUND(J117/SIN(H117),3)))</f>
        <v>13.385</v>
      </c>
      <c r="G117" s="49">
        <f aca="true" t="shared" si="30" ref="G117:G124">IF(A117&gt;$F$11,"",$A$11^2/A117)</f>
        <v>4303.324617108707</v>
      </c>
      <c r="H117" s="8">
        <f aca="true" t="shared" si="31" ref="H117:H124">IF(A117&gt;$F$11,"",ATAN(J117/I117))</f>
        <v>0.0005229734300956669</v>
      </c>
      <c r="I117" s="9">
        <f aca="true" t="shared" si="32" ref="I117:I124">IF(A117&gt;$F$11,"",ROUND(A117*(1-A117^2/40/G117^2+A117^4/3456/G117^4-A117^6/599040/G117^6),3))</f>
        <v>13.385</v>
      </c>
      <c r="J117" s="9">
        <f aca="true" t="shared" si="33" ref="J117:J124">IF(A117&gt;$F$11,"",ROUND(A117^2/6/G117*(1-A117^2/56/G117^2+A117^4/7040/G117^4-A117^6/1612800/G117^6),3))</f>
        <v>0.007</v>
      </c>
      <c r="K117" s="50">
        <f aca="true" t="shared" si="34" ref="K117:K124">IF(A117&gt;$F$106,"",IF($B$19=0,($B$112+H117),IF($B$19=1,($B$112-H117),"")))</f>
        <v>6.007855970550372</v>
      </c>
      <c r="L117" s="30">
        <f aca="true" t="shared" si="35" ref="L117:L124">IF(A117&gt;$F$11,"",$G$111+F117*COS(K117))</f>
        <v>-37691.691136453606</v>
      </c>
      <c r="M117" s="30">
        <f aca="true" t="shared" si="36" ref="M117:M124">IF(A117&gt;$F$11,"",$G$112+F117*SIN(K117))</f>
        <v>16203.306101911396</v>
      </c>
      <c r="N117" s="37"/>
    </row>
    <row r="118" spans="1:14" ht="17.25" customHeight="1">
      <c r="A118" s="76">
        <f>IF(A117="","",IF(A117+$L$106&gt;$F$106,"",IF(A117+$L$106=$F$106,$F$106,A117+$L$106)))</f>
        <v>33.38499999999999</v>
      </c>
      <c r="B118" s="8">
        <f t="shared" si="26"/>
        <v>0.18535038495318965</v>
      </c>
      <c r="C118" s="20">
        <f t="shared" si="27"/>
        <v>0</v>
      </c>
      <c r="D118" s="21">
        <f t="shared" si="28"/>
        <v>11</v>
      </c>
      <c r="E118" s="22">
        <f t="shared" si="29"/>
        <v>7</v>
      </c>
      <c r="F118" s="23">
        <f aca="true" t="shared" si="37" ref="F118:F124">IF(A118&gt;$F$11,"",IF(ISERROR(ROUND(J118/SIN(H118),3)),A118,ROUND(J118/SIN(H118),3)))</f>
        <v>33.385</v>
      </c>
      <c r="G118" s="49">
        <f t="shared" si="30"/>
        <v>1725.325745095103</v>
      </c>
      <c r="H118" s="8">
        <f t="shared" si="31"/>
        <v>0.0032349744872721153</v>
      </c>
      <c r="I118" s="9">
        <f t="shared" si="32"/>
        <v>33.385</v>
      </c>
      <c r="J118" s="9">
        <f t="shared" si="33"/>
        <v>0.108</v>
      </c>
      <c r="K118" s="50">
        <f t="shared" si="34"/>
        <v>6.005143969493195</v>
      </c>
      <c r="L118" s="30">
        <f t="shared" si="35"/>
        <v>-37672.46915486834</v>
      </c>
      <c r="M118" s="30">
        <f t="shared" si="36"/>
        <v>16197.78172768861</v>
      </c>
      <c r="N118" s="37"/>
    </row>
    <row r="119" spans="1:14" ht="17.25" customHeight="1">
      <c r="A119" s="76">
        <f aca="true" t="shared" si="38" ref="A119:A124">IF(A118="","",IF(A118+$L$106&gt;$F$106,"",IF(A118+$L$106=$F$106,$F$106,A118+$L$106)))</f>
        <v>53.38499999999999</v>
      </c>
      <c r="B119" s="8">
        <f t="shared" si="26"/>
        <v>0.4722485500037347</v>
      </c>
      <c r="C119" s="20">
        <f t="shared" si="27"/>
        <v>0</v>
      </c>
      <c r="D119" s="21">
        <f t="shared" si="28"/>
        <v>28</v>
      </c>
      <c r="E119" s="22">
        <f t="shared" si="29"/>
        <v>20</v>
      </c>
      <c r="F119" s="23">
        <f t="shared" si="37"/>
        <v>53.384</v>
      </c>
      <c r="G119" s="49">
        <f t="shared" si="30"/>
        <v>1078.9547625737569</v>
      </c>
      <c r="H119" s="8">
        <f t="shared" si="31"/>
        <v>0.00824229208533425</v>
      </c>
      <c r="I119" s="9">
        <f t="shared" si="32"/>
        <v>53.382</v>
      </c>
      <c r="J119" s="9">
        <f t="shared" si="33"/>
        <v>0.44</v>
      </c>
      <c r="K119" s="50">
        <f t="shared" si="34"/>
        <v>6.000136651895133</v>
      </c>
      <c r="L119" s="30">
        <f t="shared" si="35"/>
        <v>-37653.31223155307</v>
      </c>
      <c r="M119" s="30">
        <f t="shared" si="36"/>
        <v>16192.035687649422</v>
      </c>
      <c r="N119" s="37"/>
    </row>
    <row r="120" spans="1:14" ht="17.25" customHeight="1">
      <c r="A120" s="76">
        <f t="shared" si="38"/>
        <v>73.38499999999999</v>
      </c>
      <c r="B120" s="8">
        <f t="shared" si="26"/>
        <v>0.8925265264519135</v>
      </c>
      <c r="C120" s="20">
        <f t="shared" si="27"/>
        <v>0</v>
      </c>
      <c r="D120" s="21">
        <f t="shared" si="28"/>
        <v>53</v>
      </c>
      <c r="E120" s="22">
        <f t="shared" si="29"/>
        <v>33</v>
      </c>
      <c r="F120" s="23">
        <f t="shared" si="37"/>
        <v>73.378</v>
      </c>
      <c r="G120" s="49">
        <f t="shared" si="30"/>
        <v>784.9015466375963</v>
      </c>
      <c r="H120" s="8">
        <f t="shared" si="31"/>
        <v>0.015577526547974155</v>
      </c>
      <c r="I120" s="9">
        <f t="shared" si="32"/>
        <v>73.369</v>
      </c>
      <c r="J120" s="9">
        <f t="shared" si="33"/>
        <v>1.143</v>
      </c>
      <c r="K120" s="50">
        <f t="shared" si="34"/>
        <v>5.992801417432493</v>
      </c>
      <c r="L120" s="30">
        <f t="shared" si="35"/>
        <v>-37634.26604108948</v>
      </c>
      <c r="M120" s="30">
        <f t="shared" si="36"/>
        <v>16185.935406342029</v>
      </c>
      <c r="N120" s="37"/>
    </row>
    <row r="121" spans="1:14" ht="17.25" customHeight="1">
      <c r="A121" s="76">
        <f t="shared" si="38"/>
        <v>93.38499999999999</v>
      </c>
      <c r="B121" s="8">
        <f t="shared" si="26"/>
        <v>1.4454247252668628</v>
      </c>
      <c r="C121" s="20">
        <f t="shared" si="27"/>
        <v>1</v>
      </c>
      <c r="D121" s="21">
        <f t="shared" si="28"/>
        <v>26</v>
      </c>
      <c r="E121" s="22">
        <f t="shared" si="29"/>
        <v>43</v>
      </c>
      <c r="F121" s="23">
        <f t="shared" si="37"/>
        <v>93.361</v>
      </c>
      <c r="G121" s="49">
        <f t="shared" si="30"/>
        <v>616.8014135032394</v>
      </c>
      <c r="H121" s="8">
        <f t="shared" si="31"/>
        <v>0.02522742054564123</v>
      </c>
      <c r="I121" s="9">
        <f t="shared" si="32"/>
        <v>93.331</v>
      </c>
      <c r="J121" s="9">
        <f t="shared" si="33"/>
        <v>2.355</v>
      </c>
      <c r="K121" s="50">
        <f t="shared" si="34"/>
        <v>5.9831515234348265</v>
      </c>
      <c r="L121" s="30">
        <f t="shared" si="35"/>
        <v>-37615.38176218526</v>
      </c>
      <c r="M121" s="30">
        <f t="shared" si="36"/>
        <v>16179.351924789915</v>
      </c>
      <c r="N121" s="37"/>
    </row>
    <row r="122" spans="1:14" ht="17.25" customHeight="1">
      <c r="A122" s="76">
        <f t="shared" si="38"/>
        <v>113.38499999999999</v>
      </c>
      <c r="B122" s="8">
        <f t="shared" si="26"/>
        <v>2.131089187165139</v>
      </c>
      <c r="C122" s="20">
        <f t="shared" si="27"/>
        <v>2</v>
      </c>
      <c r="D122" s="21">
        <f t="shared" si="28"/>
        <v>7</v>
      </c>
      <c r="E122" s="22">
        <f t="shared" si="29"/>
        <v>51</v>
      </c>
      <c r="F122" s="23">
        <f t="shared" si="37"/>
        <v>113.322</v>
      </c>
      <c r="G122" s="49">
        <f t="shared" si="30"/>
        <v>508.00370419367647</v>
      </c>
      <c r="H122" s="8">
        <f t="shared" si="31"/>
        <v>0.037194522969681364</v>
      </c>
      <c r="I122" s="9">
        <f t="shared" si="32"/>
        <v>113.244</v>
      </c>
      <c r="J122" s="9">
        <f t="shared" si="33"/>
        <v>4.214</v>
      </c>
      <c r="K122" s="50">
        <f t="shared" si="34"/>
        <v>5.971184421010786</v>
      </c>
      <c r="L122" s="30">
        <f t="shared" si="35"/>
        <v>-37596.72104152351</v>
      </c>
      <c r="M122" s="30">
        <f t="shared" si="36"/>
        <v>16172.159278220755</v>
      </c>
      <c r="N122" s="37"/>
    </row>
    <row r="123" spans="1:14" ht="17.25" customHeight="1">
      <c r="A123" s="76">
        <f t="shared" si="38"/>
      </c>
      <c r="B123" s="8">
        <f t="shared" si="26"/>
      </c>
      <c r="C123" s="20">
        <f t="shared" si="27"/>
      </c>
      <c r="D123" s="21">
        <f t="shared" si="28"/>
      </c>
      <c r="E123" s="22">
        <f t="shared" si="29"/>
      </c>
      <c r="F123" s="23">
        <f t="shared" si="37"/>
      </c>
      <c r="G123" s="49">
        <f t="shared" si="30"/>
      </c>
      <c r="H123" s="8">
        <f t="shared" si="31"/>
      </c>
      <c r="I123" s="9">
        <f t="shared" si="32"/>
      </c>
      <c r="J123" s="9">
        <f t="shared" si="33"/>
      </c>
      <c r="K123" s="50">
        <f t="shared" si="34"/>
      </c>
      <c r="L123" s="30">
        <f t="shared" si="35"/>
      </c>
      <c r="M123" s="30">
        <f t="shared" si="36"/>
      </c>
      <c r="N123" s="37"/>
    </row>
    <row r="124" spans="1:14" ht="17.25" customHeight="1">
      <c r="A124" s="76">
        <f t="shared" si="38"/>
      </c>
      <c r="B124" s="8">
        <f t="shared" si="26"/>
      </c>
      <c r="C124" s="20">
        <f t="shared" si="27"/>
      </c>
      <c r="D124" s="21">
        <f t="shared" si="28"/>
      </c>
      <c r="E124" s="22">
        <f t="shared" si="29"/>
      </c>
      <c r="F124" s="23">
        <f t="shared" si="37"/>
      </c>
      <c r="G124" s="49">
        <f t="shared" si="30"/>
      </c>
      <c r="H124" s="8">
        <f t="shared" si="31"/>
      </c>
      <c r="I124" s="9">
        <f t="shared" si="32"/>
      </c>
      <c r="J124" s="9">
        <f t="shared" si="33"/>
      </c>
      <c r="K124" s="50">
        <f t="shared" si="34"/>
      </c>
      <c r="L124" s="30">
        <f t="shared" si="35"/>
      </c>
      <c r="M124" s="30">
        <f t="shared" si="36"/>
      </c>
      <c r="N124" s="37"/>
    </row>
    <row r="125" spans="1:14" ht="17.25" customHeight="1">
      <c r="A125" s="122" t="s">
        <v>128</v>
      </c>
      <c r="B125" s="31"/>
      <c r="C125" s="32"/>
      <c r="D125" s="32"/>
      <c r="E125" s="33"/>
      <c r="F125" s="34"/>
      <c r="G125" s="56"/>
      <c r="H125" s="31"/>
      <c r="I125" s="35"/>
      <c r="J125" s="35"/>
      <c r="K125" s="54"/>
      <c r="L125" s="37"/>
      <c r="M125" s="37"/>
      <c r="N125" s="37"/>
    </row>
    <row r="126" spans="1:14" ht="17.25" customHeight="1">
      <c r="A126" s="99" t="s">
        <v>30</v>
      </c>
      <c r="B126" s="99" t="s">
        <v>32</v>
      </c>
      <c r="C126" s="158" t="s">
        <v>42</v>
      </c>
      <c r="D126" s="158"/>
      <c r="E126" s="158"/>
      <c r="F126" s="99" t="s">
        <v>29</v>
      </c>
      <c r="G126" s="99"/>
      <c r="H126" s="99" t="s">
        <v>43</v>
      </c>
      <c r="I126" s="99"/>
      <c r="J126" s="99" t="s">
        <v>117</v>
      </c>
      <c r="K126" s="52" t="s">
        <v>63</v>
      </c>
      <c r="L126" s="29" t="s">
        <v>123</v>
      </c>
      <c r="M126" s="29" t="s">
        <v>124</v>
      </c>
      <c r="N126" s="145"/>
    </row>
    <row r="127" spans="1:14" ht="17.25" customHeight="1">
      <c r="A127" s="100">
        <f>G63</f>
        <v>118.021</v>
      </c>
      <c r="B127" s="8">
        <f>IF(A127&gt;$G$63,"",H127*$A$15)</f>
        <v>7.513450215459432</v>
      </c>
      <c r="C127" s="20">
        <f>IF(A127&gt;$G$63,"",INT(B127))</f>
        <v>7</v>
      </c>
      <c r="D127" s="21">
        <f>IF(A127&gt;$G$63,"",TRUNC((H127*$A$15-C127)*60))</f>
        <v>30</v>
      </c>
      <c r="E127" s="22">
        <f>IF(A127&gt;$G$63,"",TRUNC(((H127*$A$15-C127)*60-D127)*60))</f>
        <v>48</v>
      </c>
      <c r="F127" s="23">
        <f>IF(A127&gt;$G$63,"",2*$B$11*SIN(B127*PI()/180))</f>
        <v>117.68303775854062</v>
      </c>
      <c r="G127" s="9"/>
      <c r="H127" s="8">
        <f>IF(A127&gt;$G$63,"",(A127/(2*$B$11)))</f>
        <v>0.13113444444444444</v>
      </c>
      <c r="I127" s="9"/>
      <c r="J127" s="9">
        <f>K119</f>
        <v>6.000136651895133</v>
      </c>
      <c r="K127" s="50">
        <f>IF(A127&gt;$G$63,"",IF($B$19=0,($B$63-H127),IF($B$19=1,($B$63+H127),"")))</f>
        <v>2.5933962253676235</v>
      </c>
      <c r="L127" s="30">
        <f>IF(A127&gt;$G$63,"",$L$56+F127*COS(K127))</f>
        <v>-37583.265569677926</v>
      </c>
      <c r="M127" s="30">
        <f>IF(A127&gt;$G$63,"",$M$56+F127*SIN(K127))</f>
        <v>16166.452462440173</v>
      </c>
      <c r="N127" s="37"/>
    </row>
    <row r="128" spans="1:14" ht="17.25" customHeight="1">
      <c r="A128" s="104"/>
      <c r="B128" s="31"/>
      <c r="C128" s="32"/>
      <c r="D128" s="32"/>
      <c r="E128" s="33"/>
      <c r="F128" s="34"/>
      <c r="G128" s="56"/>
      <c r="H128" s="31"/>
      <c r="I128" s="35"/>
      <c r="J128" s="35"/>
      <c r="K128" s="54"/>
      <c r="L128" s="37"/>
      <c r="M128" s="37"/>
      <c r="N128" s="37"/>
    </row>
    <row r="129" spans="1:14" ht="17.25" customHeight="1">
      <c r="A129" s="99" t="s">
        <v>30</v>
      </c>
      <c r="B129" s="99" t="s">
        <v>8</v>
      </c>
      <c r="C129" s="158" t="s">
        <v>42</v>
      </c>
      <c r="D129" s="158"/>
      <c r="E129" s="158"/>
      <c r="F129" s="73" t="s">
        <v>108</v>
      </c>
      <c r="G129" s="133"/>
      <c r="H129" s="134"/>
      <c r="I129" s="135"/>
      <c r="J129" s="136"/>
      <c r="K129" s="65" t="s">
        <v>107</v>
      </c>
      <c r="L129" s="59" t="s">
        <v>150</v>
      </c>
      <c r="M129" s="59" t="s">
        <v>151</v>
      </c>
      <c r="N129" s="145"/>
    </row>
    <row r="130" spans="1:14" ht="17.25" customHeight="1">
      <c r="A130" s="139">
        <f>A82</f>
        <v>4.25</v>
      </c>
      <c r="B130" s="50">
        <f>IF(2*PI()&lt;(K127*$A$15-90)*$A$13,(K127*$A$15-90)*$A$13-2*PI(),(K127*$A$15-90)*$A$13)</f>
        <v>1.022599898572727</v>
      </c>
      <c r="C130" s="17">
        <f>IF(A130&gt;$F$11,"",TRUNC(B130*$A$15))</f>
        <v>58</v>
      </c>
      <c r="D130" s="4">
        <f>IF(A130&gt;$F$11,"",TRUNC((B130*$A$15-C130)*60))</f>
        <v>35</v>
      </c>
      <c r="E130" s="4">
        <f>IF(A130&gt;$F$11,"",TRUNC(((B130*$A$15-C130)*60-D130)*60))</f>
        <v>26</v>
      </c>
      <c r="F130" s="74">
        <f>IF($B$19=0,$B$11-A130,IF($B$19=1,$B$11+A130,""))</f>
        <v>454.25</v>
      </c>
      <c r="G130" s="56"/>
      <c r="H130" s="31"/>
      <c r="I130" s="35"/>
      <c r="J130" s="26"/>
      <c r="K130" s="60" t="s">
        <v>138</v>
      </c>
      <c r="L130" s="30">
        <f>L127+A130*COS(B130)</f>
        <v>-37581.05068731839</v>
      </c>
      <c r="M130" s="30">
        <f>M127+A130*SIN(B130)</f>
        <v>16170.07969225553</v>
      </c>
      <c r="N130" s="37"/>
    </row>
    <row r="131" spans="1:14" ht="17.25" customHeight="1">
      <c r="A131" s="140">
        <f>A83</f>
        <v>4.25</v>
      </c>
      <c r="B131" s="50">
        <f>IF(2*PI()&lt;(K127*$A$15+90)*$A$13,(K127*$A$15+90)*$A$13-2*PI(),(K127*$A$15+90)*$A$13)</f>
        <v>4.16419255216252</v>
      </c>
      <c r="C131" s="17">
        <f>IF(A131&gt;$F$11,"",TRUNC(B131*$A$15))</f>
        <v>238</v>
      </c>
      <c r="D131" s="4">
        <f>IF(A131&gt;$F$11,"",TRUNC((B131*$A$15-C131)*60))</f>
        <v>35</v>
      </c>
      <c r="E131" s="4">
        <f>IF(A131&gt;$F$11,"",TRUNC(((B131*$A$15-C131)*60-D131)*60))</f>
        <v>26</v>
      </c>
      <c r="F131" s="74">
        <f>IF($B$19=0,$B$11+A131,IF($B$19=1,$B$11-A131,""))</f>
        <v>445.75</v>
      </c>
      <c r="G131" s="89"/>
      <c r="H131" s="86"/>
      <c r="I131" s="84"/>
      <c r="J131" s="98"/>
      <c r="K131" s="60" t="s">
        <v>139</v>
      </c>
      <c r="L131" s="93">
        <f>L127+A131*COS(B131)</f>
        <v>-37585.48045203746</v>
      </c>
      <c r="M131" s="93">
        <f>M127+A131*SIN(B131)</f>
        <v>16162.825232624817</v>
      </c>
      <c r="N131" s="146"/>
    </row>
    <row r="132" spans="1:14" ht="17.25" customHeight="1">
      <c r="A132" s="97" t="s">
        <v>113</v>
      </c>
      <c r="C132" s="53" t="s">
        <v>104</v>
      </c>
      <c r="D132" s="32"/>
      <c r="E132" s="33"/>
      <c r="F132" s="34"/>
      <c r="G132" s="56"/>
      <c r="H132" s="31"/>
      <c r="I132" s="35"/>
      <c r="J132" s="35"/>
      <c r="K132" s="54"/>
      <c r="L132" s="37"/>
      <c r="M132" s="37"/>
      <c r="N132" s="37"/>
    </row>
    <row r="133" spans="1:14" ht="17.25" customHeight="1">
      <c r="A133" s="69" t="s">
        <v>30</v>
      </c>
      <c r="B133" s="69" t="s">
        <v>8</v>
      </c>
      <c r="C133" s="158" t="s">
        <v>42</v>
      </c>
      <c r="D133" s="158"/>
      <c r="E133" s="158"/>
      <c r="F133" s="73" t="s">
        <v>108</v>
      </c>
      <c r="G133" s="133"/>
      <c r="H133" s="134"/>
      <c r="I133" s="135"/>
      <c r="J133" s="136"/>
      <c r="K133" s="65" t="s">
        <v>107</v>
      </c>
      <c r="L133" s="59" t="s">
        <v>150</v>
      </c>
      <c r="M133" s="59" t="s">
        <v>151</v>
      </c>
      <c r="N133" s="145"/>
    </row>
    <row r="134" spans="1:14" ht="17.25" customHeight="1">
      <c r="A134" s="139">
        <f>A130</f>
        <v>4.25</v>
      </c>
      <c r="B134" s="50">
        <f>IF(2*PI()&lt;(B112*$A$15+90)*$A$13,(B112*$A$15+90)*$A$13-2*PI(),(B112*$A$15+90)*$A$13)</f>
        <v>1.295989963595778</v>
      </c>
      <c r="C134" s="17">
        <f>TRUNC(B134*$A$15)</f>
        <v>74</v>
      </c>
      <c r="D134" s="4">
        <f>TRUNC((B134*$A$15-C134)*60)</f>
        <v>15</v>
      </c>
      <c r="E134" s="18">
        <f>TRUNC(((B134*$A$15-C134)*60-D134)*60)</f>
        <v>17</v>
      </c>
      <c r="F134" s="74">
        <f>IF($B$19=0,$B$11-A134,IF($B$19=1,$B$11+A134,""))</f>
        <v>454.25</v>
      </c>
      <c r="G134" s="56"/>
      <c r="H134" s="31"/>
      <c r="I134" s="35"/>
      <c r="K134" s="60" t="s">
        <v>136</v>
      </c>
      <c r="L134" s="30">
        <f>$G$111+A134*COS(B134)</f>
        <v>-37703.41871757355</v>
      </c>
      <c r="M134" s="30">
        <f>$G$112+A134*SIN(B134)</f>
        <v>16211.035530484525</v>
      </c>
      <c r="N134" s="37"/>
    </row>
    <row r="135" spans="1:14" ht="17.25" customHeight="1">
      <c r="A135" s="140">
        <f>A131</f>
        <v>4.25</v>
      </c>
      <c r="B135" s="50">
        <f>IF(2*PI()&lt;(B112*$A$15-90)*$A$13,(B112*$A$15-90)*$A$13-2*PI(),(B112*$A$15-90)*$A$13)</f>
        <v>4.437582617185571</v>
      </c>
      <c r="C135" s="17">
        <f>TRUNC(B135*$A$15)</f>
        <v>254</v>
      </c>
      <c r="D135" s="4">
        <f>TRUNC((B135*$A$15-C135)*60)</f>
        <v>15</v>
      </c>
      <c r="E135" s="18">
        <f>TRUNC(((B135*$A$15-C135)*60-D135)*60)</f>
        <v>17</v>
      </c>
      <c r="F135" s="74">
        <f>IF($B$19=0,$B$11+A135,IF($B$19=1,$B$11-A135,""))</f>
        <v>445.75</v>
      </c>
      <c r="G135" s="89"/>
      <c r="H135" s="86"/>
      <c r="I135" s="84"/>
      <c r="J135" s="87"/>
      <c r="K135" s="60" t="s">
        <v>135</v>
      </c>
      <c r="L135" s="93">
        <f>$G$111+A135*COS(B135)</f>
        <v>-37705.72528242645</v>
      </c>
      <c r="M135" s="93">
        <f>$G$112+A135*SIN(B135)</f>
        <v>16202.854469515474</v>
      </c>
      <c r="N135" s="146"/>
    </row>
    <row r="136" spans="1:14" ht="17.25" customHeight="1">
      <c r="A136" s="77" t="s">
        <v>115</v>
      </c>
      <c r="B136" s="78" t="s">
        <v>147</v>
      </c>
      <c r="C136" s="158" t="s">
        <v>42</v>
      </c>
      <c r="D136" s="158"/>
      <c r="E136" s="158"/>
      <c r="F136" s="149" t="s">
        <v>148</v>
      </c>
      <c r="G136" s="149" t="s">
        <v>148</v>
      </c>
      <c r="H136" s="57"/>
      <c r="I136" s="58"/>
      <c r="J136" s="58"/>
      <c r="K136" s="75" t="s">
        <v>116</v>
      </c>
      <c r="L136" s="59" t="s">
        <v>150</v>
      </c>
      <c r="M136" s="59" t="s">
        <v>151</v>
      </c>
      <c r="N136" s="145"/>
    </row>
    <row r="137" spans="1:14" ht="17.25" customHeight="1">
      <c r="A137" s="156">
        <f>A117</f>
        <v>13.384999999999991</v>
      </c>
      <c r="B137" s="55">
        <f>IF(A137&gt;$F$11,"",G137*$A$13)</f>
        <v>4.436013696895285</v>
      </c>
      <c r="C137" s="17">
        <f>IF(A137&gt;$F$11,"",TRUNC(B137*$A$15))</f>
        <v>254</v>
      </c>
      <c r="D137" s="4">
        <f>IF(A137&gt;$F$11,"",TRUNC((B137*$A$15-C137)*60))</f>
        <v>9</v>
      </c>
      <c r="E137" s="4">
        <f>IF(A137&gt;$F$11,"",TRUNC(((B137*$A$15-C137)*60-D137)*60))</f>
        <v>53</v>
      </c>
      <c r="F137" s="150">
        <f>IF(A137="","",IF($B$19=0,K117*$A$15-90+B117*2,IF($B$19=1,K117*$A$15-90-B117*2)))</f>
        <v>254.16486269432542</v>
      </c>
      <c r="G137" s="150">
        <f>IF(F137="","",IF(F137&gt;360,F137-360,F137))</f>
        <v>254.16486269432542</v>
      </c>
      <c r="H137" s="81"/>
      <c r="I137" s="82"/>
      <c r="J137" s="83"/>
      <c r="K137" s="159">
        <f>K106</f>
        <v>400</v>
      </c>
      <c r="L137" s="72">
        <f>IF(A137&gt;$F$11,"",L117+$A$32*COS(B137))</f>
        <v>-37692.85083517429</v>
      </c>
      <c r="M137" s="152">
        <f>IF(A137&gt;$F$11,"",M117+$A$32*SIN(B137))</f>
        <v>16199.21738586877</v>
      </c>
      <c r="N137" s="147"/>
    </row>
    <row r="138" spans="1:14" ht="17.25" customHeight="1">
      <c r="A138" s="157"/>
      <c r="B138" s="50">
        <f>IF(A137&gt;$F$11,"",G138*$A$13)</f>
        <v>1.294421043305491</v>
      </c>
      <c r="C138" s="17">
        <f>IF(A137&gt;$F$11,"",TRUNC(B138*$A$15))</f>
        <v>74</v>
      </c>
      <c r="D138" s="4">
        <f>IF(A137&gt;$F$11,"",TRUNC((B138*$A$15-C138)*60))</f>
        <v>9</v>
      </c>
      <c r="E138" s="4">
        <f>IF(A137&gt;$F$11,"",TRUNC(((B138*$A$15-C138)*60-D138)*60))</f>
        <v>53</v>
      </c>
      <c r="F138" s="151">
        <f>IF(A137="","",IF($B$19=0,K117*$A$15+90+B117*2,IF($B$19=1,K117*$A$15+90-B117*2)))</f>
        <v>434.1648626943254</v>
      </c>
      <c r="G138" s="150">
        <f>IF(F138="","",IF(F138&gt;360,F138-360,F138))</f>
        <v>74.1648626943254</v>
      </c>
      <c r="H138" s="3"/>
      <c r="I138" s="79"/>
      <c r="J138" s="80"/>
      <c r="K138" s="160"/>
      <c r="L138" s="94">
        <f>IF(A137&gt;$F$11,"",L117+$A$33*COS(B138))</f>
        <v>-37690.53143773292</v>
      </c>
      <c r="M138" s="153">
        <f>IF(A137&gt;$F$11,"",M117+$A$33*SIN(B138))</f>
        <v>16207.394817954022</v>
      </c>
      <c r="N138" s="148"/>
    </row>
    <row r="139" spans="1:14" ht="17.25" customHeight="1">
      <c r="A139" s="166">
        <f>A118</f>
        <v>33.38499999999999</v>
      </c>
      <c r="B139" s="55">
        <f>IF(A139&gt;$F$11,"",G139*$A$13)</f>
        <v>4.4278776937237545</v>
      </c>
      <c r="C139" s="17">
        <f aca="true" t="shared" si="39" ref="C139:C151">IF(A139&gt;$F$11,"",TRUNC(B139*$A$15))</f>
        <v>253</v>
      </c>
      <c r="D139" s="4">
        <f>IF(A139&gt;$F$11,"",TRUNC((B139*$A$15-C139)*60))</f>
        <v>41</v>
      </c>
      <c r="E139" s="4">
        <f>IF(A139&gt;$F$11,"",TRUNC(((B139*$A$15-C139)*60-D139)*60))</f>
        <v>55</v>
      </c>
      <c r="F139" s="150">
        <f>IF(A139="","",IF($B$19=0,K118*$A$15-90+B118*2,IF($B$19=1,K118*$A$15-90-B118*2)))</f>
        <v>253.69870405049167</v>
      </c>
      <c r="G139" s="150">
        <f aca="true" t="shared" si="40" ref="G139:G152">IF(F139="","",IF(F139&gt;360,F139-360,F139))</f>
        <v>253.69870405049167</v>
      </c>
      <c r="H139" s="81"/>
      <c r="I139" s="82"/>
      <c r="J139" s="83"/>
      <c r="K139" s="159">
        <f>IF(K137="","",IF($J$106-$F$106&gt;K137-$L$106,"",K137-$L$106))</f>
        <v>380</v>
      </c>
      <c r="L139" s="72">
        <f>IF(A139&gt;$F$11,"",L118+$A$32*COS(B139))</f>
        <v>-37673.66208064606</v>
      </c>
      <c r="M139" s="152">
        <f>IF(A139&gt;$F$11,"",M118+$A$32*SIN(B139))</f>
        <v>16193.702582178967</v>
      </c>
      <c r="N139" s="147"/>
    </row>
    <row r="140" spans="1:14" ht="17.25" customHeight="1">
      <c r="A140" s="166"/>
      <c r="B140" s="50">
        <f>IF(A139&gt;$F$11,"",G140*$A$13)</f>
        <v>1.2862850401339614</v>
      </c>
      <c r="C140" s="17">
        <f>IF(A139&gt;$F$11,"",TRUNC(B140*$A$15))</f>
        <v>73</v>
      </c>
      <c r="D140" s="4">
        <f>IF(A139&gt;$F$11,"",TRUNC((B140*$A$15-C140)*60))</f>
        <v>41</v>
      </c>
      <c r="E140" s="4">
        <f>IF(A139&gt;$F$11,"",TRUNC(((B140*$A$15-C140)*60-D140)*60))</f>
        <v>55</v>
      </c>
      <c r="F140" s="151">
        <f>IF(A139="","",IF($B$19=0,K118*$A$15+90+B118*2,IF($B$19=1,K118*$A$15+90-B118*2)))</f>
        <v>433.6987040504917</v>
      </c>
      <c r="G140" s="150">
        <f t="shared" si="40"/>
        <v>73.6987040504917</v>
      </c>
      <c r="H140" s="3"/>
      <c r="I140" s="79"/>
      <c r="J140" s="80"/>
      <c r="K140" s="160"/>
      <c r="L140" s="94">
        <f>IF(A139&gt;$F$11,"",L118+$A$33*COS(B140))</f>
        <v>-37671.27622909062</v>
      </c>
      <c r="M140" s="153">
        <f>IF(A139&gt;$F$11,"",M118+$A$33*SIN(B140))</f>
        <v>16201.860873198255</v>
      </c>
      <c r="N140" s="148"/>
    </row>
    <row r="141" spans="1:14" ht="17.25" customHeight="1">
      <c r="A141" s="166">
        <f>A119</f>
        <v>53.38499999999999</v>
      </c>
      <c r="B141" s="55">
        <f>IF(A141&gt;$F$11,"",G141*$A$13)</f>
        <v>4.412855740929568</v>
      </c>
      <c r="C141" s="17">
        <f t="shared" si="39"/>
        <v>252</v>
      </c>
      <c r="D141" s="4">
        <f>IF(A141&gt;$F$11,"",TRUNC((B141*$A$15-C141)*60))</f>
        <v>50</v>
      </c>
      <c r="E141" s="4">
        <f>IF(A141&gt;$F$11,"",TRUNC(((B141*$A$15-C141)*60-D141)*60))</f>
        <v>16</v>
      </c>
      <c r="F141" s="150">
        <f>IF(A141="","",IF($B$19=0,K119*$A$15-90+B119*2,IF($B$19=1,K119*$A$15-90-B119*2)))</f>
        <v>252.83800955534002</v>
      </c>
      <c r="G141" s="150">
        <f t="shared" si="40"/>
        <v>252.83800955534002</v>
      </c>
      <c r="H141" s="81"/>
      <c r="I141" s="82"/>
      <c r="J141" s="85"/>
      <c r="K141" s="159">
        <f>IF(K139="","",IF($J$106-$F$106&gt;K139-$L$106,"",K139-$L$106))</f>
        <v>360</v>
      </c>
      <c r="L141" s="72">
        <f>IF(A141&gt;$F$11,"",L119+$A$32*COS(B141))</f>
        <v>-37654.56629716277</v>
      </c>
      <c r="M141" s="152">
        <f>IF(A141&gt;$F$11,"",M119+$A$32*SIN(B141))</f>
        <v>16187.974921779962</v>
      </c>
      <c r="N141" s="147"/>
    </row>
    <row r="142" spans="1:14" ht="17.25" customHeight="1">
      <c r="A142" s="166"/>
      <c r="B142" s="50">
        <f>IF(A141&gt;$F$11,"",G142*$A$13)</f>
        <v>1.2712630873397743</v>
      </c>
      <c r="C142" s="17">
        <f>IF(A141&gt;$F$11,"",TRUNC(B142*$A$15))</f>
        <v>72</v>
      </c>
      <c r="D142" s="4">
        <f>IF(A141&gt;$F$11,"",TRUNC((B142*$A$15-C142)*60))</f>
        <v>50</v>
      </c>
      <c r="E142" s="4">
        <f>IF(A141&gt;$F$11,"",TRUNC(((B142*$A$15-C142)*60-D142)*60))</f>
        <v>16</v>
      </c>
      <c r="F142" s="151">
        <f>IF(A141="","",IF($B$19=0,K119*$A$15+90+B119*2,IF($B$19=1,K119*$A$15+90-B119*2)))</f>
        <v>432.83800955534</v>
      </c>
      <c r="G142" s="150">
        <f t="shared" si="40"/>
        <v>72.83800955534002</v>
      </c>
      <c r="H142" s="3"/>
      <c r="I142" s="79"/>
      <c r="J142" s="84"/>
      <c r="K142" s="160"/>
      <c r="L142" s="94">
        <f>IF(A141&gt;$F$11,"",L119+$A$33*COS(B142))</f>
        <v>-37652.058165943374</v>
      </c>
      <c r="M142" s="153">
        <f>IF(A141&gt;$F$11,"",M119+$A$33*SIN(B142))</f>
        <v>16196.096453518883</v>
      </c>
      <c r="N142" s="148"/>
    </row>
    <row r="143" spans="1:14" ht="17.25" customHeight="1">
      <c r="A143" s="166">
        <f>A120</f>
        <v>73.38499999999999</v>
      </c>
      <c r="B143" s="55">
        <f>IF(A143&gt;$F$11,"",G143*$A$13)</f>
        <v>4.3908500375416475</v>
      </c>
      <c r="C143" s="17">
        <f t="shared" si="39"/>
        <v>251</v>
      </c>
      <c r="D143" s="4">
        <f>IF(A143&gt;$F$11,"",TRUNC((B143*$A$15-C143)*60))</f>
        <v>34</v>
      </c>
      <c r="E143" s="4">
        <f>IF(A143&gt;$F$11,"",TRUNC(((B143*$A$15-C143)*60-D143)*60))</f>
        <v>37</v>
      </c>
      <c r="F143" s="150">
        <f>IF(A143="","",IF($B$19=0,K120*$A$15-90+B120*2,IF($B$19=1,K120*$A$15-90-B120*2)))</f>
        <v>251.5771756259955</v>
      </c>
      <c r="G143" s="150">
        <f t="shared" si="40"/>
        <v>251.5771756259955</v>
      </c>
      <c r="H143" s="81"/>
      <c r="I143" s="82"/>
      <c r="J143" s="88"/>
      <c r="K143" s="159">
        <f>IF(K141="","",IF($J$106-$F$106&gt;K141-$L$106,"",K141-$L$106))</f>
        <v>340</v>
      </c>
      <c r="L143" s="72">
        <f>IF(A143&gt;$F$11,"",L120+$A$32*COS(B143))</f>
        <v>-37635.609155867496</v>
      </c>
      <c r="M143" s="152">
        <f>IF(A143&gt;$F$11,"",M120+$A$32*SIN(B143))</f>
        <v>16181.903218016432</v>
      </c>
      <c r="N143" s="147"/>
    </row>
    <row r="144" spans="1:14" ht="17.25" customHeight="1">
      <c r="A144" s="166"/>
      <c r="B144" s="50">
        <f>IF(A143&gt;$F$11,"",G144*$A$13)</f>
        <v>1.2492573839518548</v>
      </c>
      <c r="C144" s="17">
        <f>IF(A143&gt;$F$11,"",TRUNC(B144*$A$15))</f>
        <v>71</v>
      </c>
      <c r="D144" s="4">
        <f>IF(A143&gt;$F$11,"",TRUNC((B144*$A$15-C144)*60))</f>
        <v>34</v>
      </c>
      <c r="E144" s="4">
        <f>IF(A143&gt;$F$11,"",TRUNC(((B144*$A$15-C144)*60-D144)*60))</f>
        <v>37</v>
      </c>
      <c r="F144" s="151">
        <f>IF(A143="","",IF($B$19=0,K120*$A$15+90+B120*2,IF($B$19=1,K120*$A$15+90-B120*2)))</f>
        <v>431.5771756259955</v>
      </c>
      <c r="G144" s="150">
        <f t="shared" si="40"/>
        <v>71.5771756259955</v>
      </c>
      <c r="H144" s="3"/>
      <c r="I144" s="79"/>
      <c r="J144" s="86"/>
      <c r="K144" s="160"/>
      <c r="L144" s="94">
        <f>IF(A143&gt;$F$11,"",L120+$A$33*COS(B144))</f>
        <v>-37632.92292631147</v>
      </c>
      <c r="M144" s="153">
        <f>IF(A143&gt;$F$11,"",M120+$A$33*SIN(B144))</f>
        <v>16189.967594667625</v>
      </c>
      <c r="N144" s="148"/>
    </row>
    <row r="145" spans="1:14" ht="17.25" customHeight="1">
      <c r="A145" s="166">
        <f>A121</f>
        <v>93.38499999999999</v>
      </c>
      <c r="B145" s="55">
        <f>IF(A145&gt;$F$11,"",G145*$A$13)</f>
        <v>4.361900355548648</v>
      </c>
      <c r="C145" s="17">
        <f t="shared" si="39"/>
        <v>249</v>
      </c>
      <c r="D145" s="4">
        <f>IF(A145&gt;$F$11,"",TRUNC((B145*$A$15-C145)*60))</f>
        <v>55</v>
      </c>
      <c r="E145" s="4">
        <f>IF(A145&gt;$F$11,"",TRUNC(((B145*$A$15-C145)*60-D145)*60))</f>
        <v>6</v>
      </c>
      <c r="F145" s="150">
        <f>IF(A145="","",IF($B$19=0,K121*$A$15-90+B121*2,IF($B$19=1,K121*$A$15-90-B121*2)))</f>
        <v>249.91848102955072</v>
      </c>
      <c r="G145" s="150">
        <f t="shared" si="40"/>
        <v>249.91848102955072</v>
      </c>
      <c r="H145" s="81"/>
      <c r="I145" s="82"/>
      <c r="J145" s="88"/>
      <c r="K145" s="159">
        <f>IF(K143="","",IF($J$106-$F$106&gt;K143-$L$106,"",K143-$L$106))</f>
        <v>320</v>
      </c>
      <c r="L145" s="72">
        <f>IF(A145&gt;$F$11,"",L121+$A$32*COS(B145))</f>
        <v>-37616.841028446455</v>
      </c>
      <c r="M145" s="152">
        <f>IF(A145&gt;$F$11,"",M121+$A$32*SIN(B145))</f>
        <v>16175.360303317515</v>
      </c>
      <c r="N145" s="147"/>
    </row>
    <row r="146" spans="1:14" ht="17.25" customHeight="1">
      <c r="A146" s="166"/>
      <c r="B146" s="50">
        <f>IF(A145&gt;$F$11,"",G146*$A$13)</f>
        <v>1.2203077019588549</v>
      </c>
      <c r="C146" s="17">
        <f>IF(A145&gt;$F$11,"",TRUNC(B146*$A$15))</f>
        <v>69</v>
      </c>
      <c r="D146" s="4">
        <f>IF(A145&gt;$F$11,"",TRUNC((B146*$A$15-C146)*60))</f>
        <v>55</v>
      </c>
      <c r="E146" s="4">
        <f>IF(A145&gt;$F$11,"",TRUNC(((B146*$A$15-C146)*60-D146)*60))</f>
        <v>6</v>
      </c>
      <c r="F146" s="151">
        <f>IF(A145="","",IF($B$19=0,K121*$A$15+90+B121*2,IF($B$19=1,K121*$A$15+90-B121*2)))</f>
        <v>429.9184810295507</v>
      </c>
      <c r="G146" s="150">
        <f t="shared" si="40"/>
        <v>69.91848102955072</v>
      </c>
      <c r="H146" s="3"/>
      <c r="I146" s="79"/>
      <c r="J146" s="86"/>
      <c r="K146" s="160"/>
      <c r="L146" s="94">
        <f>IF(A145&gt;$F$11,"",L121+$A$33*COS(B146))</f>
        <v>-37613.92249592406</v>
      </c>
      <c r="M146" s="153">
        <f>IF(A145&gt;$F$11,"",M121+$A$33*SIN(B146))</f>
        <v>16183.343546262315</v>
      </c>
      <c r="N146" s="148"/>
    </row>
    <row r="147" spans="1:14" ht="17.25" customHeight="1">
      <c r="A147" s="166">
        <f>A122</f>
        <v>113.38499999999999</v>
      </c>
      <c r="B147" s="55">
        <f>IF(A147&gt;$F$11,"",G147*$A$13)</f>
        <v>4.325999048276527</v>
      </c>
      <c r="C147" s="17">
        <f t="shared" si="39"/>
        <v>247</v>
      </c>
      <c r="D147" s="4">
        <f>IF(A147&gt;$F$11,"",TRUNC((B147*$A$15-C147)*60))</f>
        <v>51</v>
      </c>
      <c r="E147" s="4">
        <f>IF(A147&gt;$F$11,"",TRUNC(((B147*$A$15-C147)*60-D147)*60))</f>
        <v>41</v>
      </c>
      <c r="F147" s="150">
        <f>IF(A147="","",IF($B$19=0,K122*$A$15-90+B122*2,IF($B$19=1,K122*$A$15-90-B122*2)))</f>
        <v>247.86148764385587</v>
      </c>
      <c r="G147" s="150">
        <f t="shared" si="40"/>
        <v>247.86148764385587</v>
      </c>
      <c r="H147" s="81"/>
      <c r="I147" s="82"/>
      <c r="J147" s="88"/>
      <c r="K147" s="159">
        <f>IF(K145="","",IF($J$106-$F$106&gt;K145-$L$106,"",K145-$L$106))</f>
        <v>300</v>
      </c>
      <c r="L147" s="72">
        <f>IF(A147&gt;$F$11,"",L122+$A$32*COS(B147))</f>
        <v>-37598.32264110546</v>
      </c>
      <c r="M147" s="152">
        <f>IF(A147&gt;$F$11,"",M122+$A$32*SIN(B147))</f>
        <v>16168.222607193213</v>
      </c>
      <c r="N147" s="147"/>
    </row>
    <row r="148" spans="1:14" ht="17.25" customHeight="1">
      <c r="A148" s="166"/>
      <c r="B148" s="50">
        <f>IF(A147&gt;$F$11,"",G148*$A$13)</f>
        <v>1.184406394686734</v>
      </c>
      <c r="C148" s="17">
        <f>IF(A147&gt;$F$11,"",TRUNC(B148*$A$15))</f>
        <v>67</v>
      </c>
      <c r="D148" s="4">
        <f>IF(A147&gt;$F$11,"",TRUNC((B148*$A$15-C148)*60))</f>
        <v>51</v>
      </c>
      <c r="E148" s="4">
        <f>IF(A147&gt;$F$11,"",TRUNC(((B148*$A$15-C148)*60-D148)*60))</f>
        <v>41</v>
      </c>
      <c r="F148" s="151">
        <f>IF(A147="","",IF($B$19=0,K122*$A$15+90+B122*2,IF($B$19=1,K122*$A$15+90-B122*2)))</f>
        <v>427.86148764385587</v>
      </c>
      <c r="G148" s="150">
        <f t="shared" si="40"/>
        <v>67.86148764385587</v>
      </c>
      <c r="H148" s="3"/>
      <c r="I148" s="79"/>
      <c r="J148" s="86"/>
      <c r="K148" s="160"/>
      <c r="L148" s="94">
        <f>IF(A147&gt;$F$11,"",L122+$A$33*COS(B148))</f>
        <v>-37595.11944194156</v>
      </c>
      <c r="M148" s="153">
        <f>IF(A147&gt;$F$11,"",M122+$A$33*SIN(B148))</f>
        <v>16176.095949248298</v>
      </c>
      <c r="N148" s="148"/>
    </row>
    <row r="149" spans="1:14" ht="17.25" customHeight="1">
      <c r="A149" s="166">
        <f>A123</f>
      </c>
      <c r="B149" s="55">
        <f>IF(A149&gt;$F$11,"",G149*$A$13)</f>
      </c>
      <c r="C149" s="17">
        <f t="shared" si="39"/>
      </c>
      <c r="D149" s="4">
        <f>IF(A149&gt;$F$11,"",TRUNC((B149*$A$15-C149)*60))</f>
      </c>
      <c r="E149" s="4">
        <f>IF(A149&gt;$F$11,"",TRUNC(((B149*$A$15-C149)*60-D149)*60))</f>
      </c>
      <c r="F149" s="150">
        <f>IF(A149="","",IF($B$19=0,K123*$A$15-90+B123*2,IF($B$19=1,K123*$A$15-90-B123*2)))</f>
      </c>
      <c r="G149" s="150">
        <f t="shared" si="40"/>
      </c>
      <c r="H149" s="81"/>
      <c r="I149" s="82"/>
      <c r="J149" s="88"/>
      <c r="K149" s="159">
        <f>IF(K147="","",IF($J$106-$F$106&gt;K147-$L$106,"",K147-$L$106))</f>
      </c>
      <c r="L149" s="72">
        <f>IF(A149&gt;$F$11,"",L123+$A$32*COS(B149))</f>
      </c>
      <c r="M149" s="152">
        <f>IF(A149&gt;$F$11,"",M123+$A$32*SIN(B149))</f>
      </c>
      <c r="N149" s="147"/>
    </row>
    <row r="150" spans="1:14" ht="17.25" customHeight="1">
      <c r="A150" s="166"/>
      <c r="B150" s="50">
        <f>IF(A149&gt;$F$11,"",G150*$A$13)</f>
      </c>
      <c r="C150" s="17">
        <f>IF(A149&gt;$F$11,"",TRUNC(B150*$A$15))</f>
      </c>
      <c r="D150" s="4">
        <f>IF(A149&gt;$F$11,"",TRUNC((B150*$A$15-C150)*60))</f>
      </c>
      <c r="E150" s="4">
        <f>IF(A149&gt;$F$11,"",TRUNC(((B150*$A$15-C150)*60-D150)*60))</f>
      </c>
      <c r="F150" s="151">
        <f>IF(A149="","",IF($B$19=0,K123*$A$15+90+B123*2,IF($B$19=1,K123*$A$15+90-B123*2)))</f>
      </c>
      <c r="G150" s="150">
        <f t="shared" si="40"/>
      </c>
      <c r="H150" s="3"/>
      <c r="I150" s="79"/>
      <c r="J150" s="86"/>
      <c r="K150" s="160"/>
      <c r="L150" s="94">
        <f>IF(A149&gt;$F$11,"",L123+$A$33*COS(B150))</f>
      </c>
      <c r="M150" s="153">
        <f>IF(A149&gt;$F$11,"",M123+$A$33*SIN(B150))</f>
      </c>
      <c r="N150" s="148"/>
    </row>
    <row r="151" spans="1:14" ht="17.25" customHeight="1">
      <c r="A151" s="156">
        <f>A124</f>
      </c>
      <c r="B151" s="55">
        <f>IF(A151&gt;$F$11,"",G151*$A$13)</f>
      </c>
      <c r="C151" s="17">
        <f t="shared" si="39"/>
      </c>
      <c r="D151" s="4">
        <f>IF(A151&gt;$F$11,"",TRUNC((B151*$A$15-C151)*60))</f>
      </c>
      <c r="E151" s="4">
        <f>IF(A151&gt;$F$11,"",TRUNC(((B151*$A$15-C151)*60-D151)*60))</f>
      </c>
      <c r="F151" s="150">
        <f>IF(A151="","",IF($B$19=0,K124*$A$15-90+B124*2,IF($B$19=1,K124*$A$15-90-B124*2)))</f>
      </c>
      <c r="G151" s="150">
        <f t="shared" si="40"/>
      </c>
      <c r="H151" s="81"/>
      <c r="I151" s="82"/>
      <c r="J151" s="88"/>
      <c r="K151" s="159">
        <f>IF(K149="","",IF($J$106-$F$106&gt;K149-$L$106,"",K149-$L$106))</f>
      </c>
      <c r="L151" s="72">
        <f>IF(A151&gt;$F$11,"",#REF!+$A$32*COS(B151))</f>
      </c>
      <c r="M151" s="152">
        <f>IF(A151&gt;$F$11,"",#REF!+$A$32*SIN(B151))</f>
      </c>
      <c r="N151" s="147"/>
    </row>
    <row r="152" spans="1:14" ht="17.25" customHeight="1">
      <c r="A152" s="157"/>
      <c r="B152" s="50">
        <f>IF(A151&gt;$F$11,"",G152*$A$13)</f>
      </c>
      <c r="C152" s="17">
        <f>IF(A151&gt;$F$11,"",TRUNC(B152*$A$15))</f>
      </c>
      <c r="D152" s="4">
        <f>IF(A151&gt;$F$11,"",TRUNC((B152*$A$15-C152)*60))</f>
      </c>
      <c r="E152" s="4">
        <f>IF(A151&gt;$F$11,"",TRUNC(((B152*$A$15-C152)*60-D152)*60))</f>
      </c>
      <c r="F152" s="151">
        <f>IF(A151="","",IF($B$19=0,K124*$A$15+90+B124*2,IF($B$19=1,K124*$A$15+90-B124*2)))</f>
      </c>
      <c r="G152" s="150">
        <f t="shared" si="40"/>
      </c>
      <c r="H152" s="3"/>
      <c r="I152" s="79"/>
      <c r="J152" s="86"/>
      <c r="K152" s="160"/>
      <c r="L152" s="94">
        <f>IF(A151&gt;$F$11,"",#REF!+$A$33*COS(B152))</f>
      </c>
      <c r="M152" s="153">
        <f>IF(A151&gt;$F$11,"",#REF!+$A$33*SIN(B152))</f>
      </c>
      <c r="N152" s="148"/>
    </row>
  </sheetData>
  <sheetProtection/>
  <mergeCells count="80">
    <mergeCell ref="A151:A152"/>
    <mergeCell ref="K151:K152"/>
    <mergeCell ref="A145:A146"/>
    <mergeCell ref="K145:K146"/>
    <mergeCell ref="A147:A148"/>
    <mergeCell ref="K147:K148"/>
    <mergeCell ref="A149:A150"/>
    <mergeCell ref="K149:K150"/>
    <mergeCell ref="K139:K140"/>
    <mergeCell ref="A141:A142"/>
    <mergeCell ref="K141:K142"/>
    <mergeCell ref="A143:A144"/>
    <mergeCell ref="K143:K144"/>
    <mergeCell ref="G112:H112"/>
    <mergeCell ref="A139:A140"/>
    <mergeCell ref="J112:K112"/>
    <mergeCell ref="C116:E116"/>
    <mergeCell ref="C133:E133"/>
    <mergeCell ref="C136:E136"/>
    <mergeCell ref="A137:A138"/>
    <mergeCell ref="K137:K138"/>
    <mergeCell ref="C129:E129"/>
    <mergeCell ref="A99:A100"/>
    <mergeCell ref="K99:K100"/>
    <mergeCell ref="C105:E105"/>
    <mergeCell ref="C107:E107"/>
    <mergeCell ref="C109:E109"/>
    <mergeCell ref="C111:E111"/>
    <mergeCell ref="C70:E70"/>
    <mergeCell ref="C81:E81"/>
    <mergeCell ref="C84:E84"/>
    <mergeCell ref="A85:A86"/>
    <mergeCell ref="K85:K86"/>
    <mergeCell ref="K93:K94"/>
    <mergeCell ref="A89:A90"/>
    <mergeCell ref="K89:K90"/>
    <mergeCell ref="A91:A92"/>
    <mergeCell ref="K91:K92"/>
    <mergeCell ref="A45:A46"/>
    <mergeCell ref="K45:K46"/>
    <mergeCell ref="A47:A48"/>
    <mergeCell ref="K47:K48"/>
    <mergeCell ref="A49:A50"/>
    <mergeCell ref="K49:K50"/>
    <mergeCell ref="A39:A40"/>
    <mergeCell ref="K39:K40"/>
    <mergeCell ref="A41:A42"/>
    <mergeCell ref="K41:K42"/>
    <mergeCell ref="A43:A44"/>
    <mergeCell ref="K43:K44"/>
    <mergeCell ref="Q19:S19"/>
    <mergeCell ref="C21:E21"/>
    <mergeCell ref="C31:E31"/>
    <mergeCell ref="C34:E34"/>
    <mergeCell ref="A35:A36"/>
    <mergeCell ref="K35:K36"/>
    <mergeCell ref="C10:E10"/>
    <mergeCell ref="C12:E12"/>
    <mergeCell ref="C14:E14"/>
    <mergeCell ref="C17:E17"/>
    <mergeCell ref="G17:H17"/>
    <mergeCell ref="J17:K17"/>
    <mergeCell ref="G18:H18"/>
    <mergeCell ref="J18:K18"/>
    <mergeCell ref="C55:E55"/>
    <mergeCell ref="C62:E62"/>
    <mergeCell ref="A87:A88"/>
    <mergeCell ref="K87:K88"/>
    <mergeCell ref="C64:E64"/>
    <mergeCell ref="C60:E60"/>
    <mergeCell ref="A37:A38"/>
    <mergeCell ref="K37:K38"/>
    <mergeCell ref="A93:A94"/>
    <mergeCell ref="C126:E126"/>
    <mergeCell ref="A95:A96"/>
    <mergeCell ref="K95:K96"/>
    <mergeCell ref="A97:A98"/>
    <mergeCell ref="K97:K98"/>
    <mergeCell ref="G111:H111"/>
    <mergeCell ref="J111:K111"/>
  </mergeCells>
  <printOptions horizontalCentered="1"/>
  <pageMargins left="0.3937007874015748" right="0.2362204724409449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2"/>
  <sheetViews>
    <sheetView showGridLines="0" view="pageBreakPreview" zoomScale="110" zoomScaleSheetLayoutView="110" zoomScalePageLayoutView="0" workbookViewId="0" topLeftCell="A1">
      <selection activeCell="B14" sqref="B14"/>
    </sheetView>
  </sheetViews>
  <sheetFormatPr defaultColWidth="9.140625" defaultRowHeight="17.25" customHeight="1"/>
  <cols>
    <col min="1" max="1" width="9.00390625" style="1" customWidth="1"/>
    <col min="2" max="2" width="7.57421875" style="1" customWidth="1"/>
    <col min="3" max="3" width="4.57421875" style="1" customWidth="1"/>
    <col min="4" max="5" width="3.57421875" style="1" customWidth="1"/>
    <col min="6" max="11" width="7.57421875" style="1" customWidth="1"/>
    <col min="12" max="13" width="10.57421875" style="1" customWidth="1"/>
    <col min="14" max="14" width="6.57421875" style="1" customWidth="1"/>
    <col min="15" max="15" width="6.57421875" style="26" customWidth="1"/>
    <col min="16" max="16" width="3.57421875" style="1" customWidth="1"/>
    <col min="17" max="17" width="9.00390625" style="1" customWidth="1"/>
    <col min="18" max="23" width="10.57421875" style="1" customWidth="1"/>
    <col min="24" max="16384" width="9.00390625" style="1" customWidth="1"/>
  </cols>
  <sheetData>
    <row r="1" spans="2:14" ht="17.25" customHeight="1">
      <c r="B1" s="1" t="s">
        <v>38</v>
      </c>
      <c r="J1" s="6" t="s">
        <v>102</v>
      </c>
      <c r="K1" s="5"/>
      <c r="L1" s="5"/>
      <c r="M1" s="36"/>
      <c r="N1" s="36"/>
    </row>
    <row r="2" spans="1:14" ht="17.25" customHeight="1">
      <c r="A2" s="1" t="s">
        <v>0</v>
      </c>
      <c r="B2" s="38" t="s">
        <v>51</v>
      </c>
      <c r="C2" s="38" t="s">
        <v>103</v>
      </c>
      <c r="D2" s="38"/>
      <c r="E2" s="38"/>
      <c r="F2" s="3"/>
      <c r="G2" s="3"/>
      <c r="H2" s="3"/>
      <c r="J2" s="4" t="s">
        <v>95</v>
      </c>
      <c r="K2" s="5"/>
      <c r="L2" s="5"/>
      <c r="M2" s="36"/>
      <c r="N2" s="36"/>
    </row>
    <row r="3" spans="2:14" ht="17.25" customHeight="1">
      <c r="B3" s="4" t="s">
        <v>52</v>
      </c>
      <c r="C3" s="4"/>
      <c r="D3" s="5"/>
      <c r="E3" s="5"/>
      <c r="F3" s="4" t="s">
        <v>37</v>
      </c>
      <c r="G3" s="4"/>
      <c r="H3" s="4"/>
      <c r="J3" s="4" t="s">
        <v>96</v>
      </c>
      <c r="K3" s="5"/>
      <c r="L3" s="5"/>
      <c r="M3" s="66"/>
      <c r="N3" s="66"/>
    </row>
    <row r="4" spans="2:14" ht="17.25" customHeight="1">
      <c r="B4" s="4" t="s">
        <v>50</v>
      </c>
      <c r="C4" s="6"/>
      <c r="D4" s="5"/>
      <c r="E4" s="5"/>
      <c r="F4" s="4"/>
      <c r="G4" s="4"/>
      <c r="H4" s="4"/>
      <c r="J4" s="4" t="s">
        <v>97</v>
      </c>
      <c r="K4" s="5"/>
      <c r="L4" s="5"/>
      <c r="M4" s="66"/>
      <c r="N4" s="66"/>
    </row>
    <row r="5" spans="2:14" ht="17.25" customHeight="1">
      <c r="B5" s="7" t="s">
        <v>92</v>
      </c>
      <c r="C5" s="5"/>
      <c r="D5" s="5"/>
      <c r="E5" s="5"/>
      <c r="F5" s="7" t="s">
        <v>48</v>
      </c>
      <c r="G5" s="4"/>
      <c r="H5" s="4"/>
      <c r="J5" s="4" t="s">
        <v>65</v>
      </c>
      <c r="K5" s="5"/>
      <c r="L5" s="5"/>
      <c r="M5" s="66"/>
      <c r="N5" s="66"/>
    </row>
    <row r="6" spans="2:14" ht="17.25" customHeight="1">
      <c r="B6" s="4" t="s">
        <v>93</v>
      </c>
      <c r="C6" s="5"/>
      <c r="D6" s="5"/>
      <c r="E6" s="5"/>
      <c r="F6" s="4"/>
      <c r="G6" s="4"/>
      <c r="H6" s="4"/>
      <c r="J6" s="6" t="s">
        <v>98</v>
      </c>
      <c r="K6" s="5"/>
      <c r="L6" s="5"/>
      <c r="M6" s="66"/>
      <c r="N6" s="66"/>
    </row>
    <row r="7" spans="2:14" ht="17.25" customHeight="1">
      <c r="B7" s="4" t="s">
        <v>94</v>
      </c>
      <c r="C7" s="5"/>
      <c r="D7" s="5"/>
      <c r="E7" s="5"/>
      <c r="F7" s="4"/>
      <c r="G7" s="4"/>
      <c r="H7" s="4"/>
      <c r="J7" s="4" t="s">
        <v>99</v>
      </c>
      <c r="K7" s="5"/>
      <c r="L7" s="5"/>
      <c r="M7" s="66"/>
      <c r="N7" s="66"/>
    </row>
    <row r="8" spans="2:14" ht="17.25" customHeight="1">
      <c r="B8" s="4" t="s">
        <v>101</v>
      </c>
      <c r="C8" s="5"/>
      <c r="D8" s="5"/>
      <c r="E8" s="5"/>
      <c r="J8" s="4" t="s">
        <v>100</v>
      </c>
      <c r="K8" s="5"/>
      <c r="L8" s="5"/>
      <c r="M8" s="66"/>
      <c r="N8" s="66"/>
    </row>
    <row r="9" spans="1:14" ht="17.25" customHeight="1">
      <c r="A9" s="171" t="s">
        <v>53</v>
      </c>
      <c r="B9" s="6" t="s">
        <v>36</v>
      </c>
      <c r="C9" s="5"/>
      <c r="D9" s="5"/>
      <c r="E9" s="5"/>
      <c r="F9" s="1" t="s">
        <v>152</v>
      </c>
      <c r="M9" s="66"/>
      <c r="N9" s="66"/>
    </row>
    <row r="10" spans="1:14" ht="17.25" customHeight="1">
      <c r="A10" s="99" t="s">
        <v>1</v>
      </c>
      <c r="B10" s="99" t="s">
        <v>2</v>
      </c>
      <c r="C10" s="167" t="s">
        <v>137</v>
      </c>
      <c r="D10" s="168"/>
      <c r="E10" s="169"/>
      <c r="F10" s="99" t="s">
        <v>3</v>
      </c>
      <c r="G10" s="99" t="s">
        <v>35</v>
      </c>
      <c r="H10" s="99" t="s">
        <v>49</v>
      </c>
      <c r="I10" s="99" t="s">
        <v>47</v>
      </c>
      <c r="J10" s="99" t="s">
        <v>111</v>
      </c>
      <c r="K10" s="99" t="s">
        <v>109</v>
      </c>
      <c r="L10" s="99" t="s">
        <v>110</v>
      </c>
      <c r="M10" s="99" t="s">
        <v>143</v>
      </c>
      <c r="N10" s="144"/>
    </row>
    <row r="11" spans="1:14" ht="17.25" customHeight="1">
      <c r="A11" s="106">
        <v>160</v>
      </c>
      <c r="B11" s="106">
        <v>320</v>
      </c>
      <c r="C11" s="107">
        <v>29</v>
      </c>
      <c r="D11" s="107">
        <v>46</v>
      </c>
      <c r="E11" s="107">
        <v>12</v>
      </c>
      <c r="F11" s="70">
        <f>A11^2/B11</f>
        <v>80</v>
      </c>
      <c r="G11" s="8">
        <f>A11^2/2/B11^2</f>
        <v>0.125</v>
      </c>
      <c r="H11" s="9">
        <f>I15-H13</f>
        <v>40.313</v>
      </c>
      <c r="I11" s="10">
        <f>ATAN(G13/F13)</f>
        <v>0.04166601257095607</v>
      </c>
      <c r="J11" s="108">
        <v>627.4</v>
      </c>
      <c r="K11" s="109">
        <v>640</v>
      </c>
      <c r="L11" s="110">
        <v>20</v>
      </c>
      <c r="M11" s="9">
        <f>ROUND(I13*TAN(L13/2)+H13,3)</f>
        <v>125.256</v>
      </c>
      <c r="N11" s="35"/>
    </row>
    <row r="12" spans="1:12" ht="17.25" customHeight="1">
      <c r="A12" s="99" t="s">
        <v>39</v>
      </c>
      <c r="B12" s="99" t="s">
        <v>8</v>
      </c>
      <c r="C12" s="167" t="s">
        <v>42</v>
      </c>
      <c r="D12" s="168"/>
      <c r="E12" s="169"/>
      <c r="F12" s="99" t="s">
        <v>90</v>
      </c>
      <c r="G12" s="99" t="s">
        <v>91</v>
      </c>
      <c r="H12" s="99" t="s">
        <v>15</v>
      </c>
      <c r="I12" s="99" t="s">
        <v>19</v>
      </c>
      <c r="J12" s="99" t="s">
        <v>12</v>
      </c>
      <c r="K12" s="28" t="s">
        <v>16</v>
      </c>
      <c r="L12" s="99" t="s">
        <v>142</v>
      </c>
    </row>
    <row r="13" spans="1:12" ht="17.25" customHeight="1">
      <c r="A13" s="8">
        <f>PI()/180</f>
        <v>0.017453292519943295</v>
      </c>
      <c r="B13" s="8">
        <f>I11*A15</f>
        <v>2.387286669454815</v>
      </c>
      <c r="C13" s="13">
        <f>TRUNC(I11*180/PI())</f>
        <v>2</v>
      </c>
      <c r="D13" s="14">
        <f>TRUNC((I11*180/PI()-C13)*60)</f>
        <v>23</v>
      </c>
      <c r="E13" s="15">
        <f>TRUNC(((I11*180/PI()-C13)*60-D13)*60)</f>
        <v>14</v>
      </c>
      <c r="F13" s="9">
        <f>ROUND(F11*(1-F11^2/40/$B$11^2+F11^4/3456/$B$11^4-F11^6/599040/$B$11^6),3)</f>
        <v>79.875</v>
      </c>
      <c r="G13" s="9">
        <f>ROUND(F11^2/6/$B$11*(1-F11^2/56/$B$11^2+F11^4/7040/$B$11^4-F11^6/1612800/$B$11^6),3)</f>
        <v>3.33</v>
      </c>
      <c r="H13" s="11">
        <f>ROUND(F13-B11*SIN(B15*A13),3)</f>
        <v>39.979</v>
      </c>
      <c r="I13" s="9">
        <f>B11+J13</f>
        <v>320.833</v>
      </c>
      <c r="J13" s="11">
        <f>ROUND(G13+B11*COS(G11)-B11,3)</f>
        <v>0.833</v>
      </c>
      <c r="K13" s="143">
        <f>ROUND(G13*1/SIN(G11),3)</f>
        <v>26.71</v>
      </c>
      <c r="L13" s="8">
        <f>L15*A13</f>
        <v>0.5195845183187119</v>
      </c>
    </row>
    <row r="14" spans="1:12" ht="17.25" customHeight="1">
      <c r="A14" s="99" t="s">
        <v>40</v>
      </c>
      <c r="B14" s="99" t="s">
        <v>9</v>
      </c>
      <c r="C14" s="167" t="s">
        <v>42</v>
      </c>
      <c r="D14" s="168"/>
      <c r="E14" s="169"/>
      <c r="F14" s="99" t="s">
        <v>13</v>
      </c>
      <c r="G14" s="99" t="s">
        <v>14</v>
      </c>
      <c r="H14" s="99" t="s">
        <v>17</v>
      </c>
      <c r="I14" s="99" t="s">
        <v>18</v>
      </c>
      <c r="J14" s="99" t="s">
        <v>20</v>
      </c>
      <c r="K14" s="99" t="s">
        <v>21</v>
      </c>
      <c r="L14" s="99" t="s">
        <v>105</v>
      </c>
    </row>
    <row r="15" spans="1:12" ht="17.25" customHeight="1">
      <c r="A15" s="16">
        <f>180/PI()</f>
        <v>57.29577951308232</v>
      </c>
      <c r="B15" s="8">
        <f>G11*A15</f>
        <v>7.16197243913529</v>
      </c>
      <c r="C15" s="17">
        <f>TRUNC(G11*180/PI())</f>
        <v>7</v>
      </c>
      <c r="D15" s="4">
        <f>TRUNC((G11*A15-C15)*60)</f>
        <v>9</v>
      </c>
      <c r="E15" s="18">
        <f>TRUNC(((G11*A15-C15)*60-D15)*60)</f>
        <v>43</v>
      </c>
      <c r="F15" s="11">
        <f>ROUND(F13-G13*1/TAN(G11),3)</f>
        <v>53.374</v>
      </c>
      <c r="G15" s="11">
        <f>ROUND(G13/SIN(I11),3)</f>
        <v>79.944</v>
      </c>
      <c r="H15" s="11">
        <f>ROUND(I13/COS(G11)-B11,3)</f>
        <v>3.356</v>
      </c>
      <c r="I15" s="9">
        <f>ROUND(F13+SQRT(H15^2-G13^2),3)</f>
        <v>80.292</v>
      </c>
      <c r="J15" s="11">
        <f>F13-F15</f>
        <v>26.500999999999998</v>
      </c>
      <c r="K15" s="11">
        <f>I15-F13</f>
        <v>0.4170000000000016</v>
      </c>
      <c r="L15" s="10">
        <f>C11+(D11/100/0.6)+(E11/10000/0.36)</f>
        <v>29.77</v>
      </c>
    </row>
    <row r="16" spans="1:12" ht="17.25" customHeight="1">
      <c r="A16" s="118"/>
      <c r="B16" s="119"/>
      <c r="C16" s="4"/>
      <c r="D16" s="4"/>
      <c r="E16" s="4"/>
      <c r="F16" s="4"/>
      <c r="G16" s="4"/>
      <c r="H16" s="4"/>
      <c r="I16" s="120"/>
      <c r="J16" s="4"/>
      <c r="K16" s="4"/>
      <c r="L16" s="121"/>
    </row>
    <row r="17" spans="1:12" ht="17.25" customHeight="1">
      <c r="A17" s="96" t="s">
        <v>118</v>
      </c>
      <c r="B17" s="27" t="s">
        <v>64</v>
      </c>
      <c r="C17" s="163" t="s">
        <v>42</v>
      </c>
      <c r="D17" s="164"/>
      <c r="E17" s="165"/>
      <c r="F17" s="27" t="s">
        <v>54</v>
      </c>
      <c r="G17" s="161">
        <v>-37910.558</v>
      </c>
      <c r="H17" s="161"/>
      <c r="I17" s="27" t="s">
        <v>56</v>
      </c>
      <c r="J17" s="161">
        <v>-38031.114</v>
      </c>
      <c r="K17" s="161"/>
      <c r="L17" s="26"/>
    </row>
    <row r="18" spans="1:11" ht="17.25" customHeight="1">
      <c r="A18" s="1" t="s">
        <v>28</v>
      </c>
      <c r="B18" s="8">
        <f>IF(H20&lt;0,PI()+H20+PI(),H20)</f>
        <v>2.8667825052666585</v>
      </c>
      <c r="C18" s="17">
        <f>TRUNC(B18*$A$15)</f>
        <v>164</v>
      </c>
      <c r="D18" s="4">
        <f>TRUNC((B18*$A$15-C18)*60)</f>
        <v>15</v>
      </c>
      <c r="E18" s="18">
        <f>TRUNC(((B18*$A$15-C18)*60-D18)*60)</f>
        <v>16</v>
      </c>
      <c r="F18" s="27" t="s">
        <v>55</v>
      </c>
      <c r="G18" s="161">
        <v>16265.021</v>
      </c>
      <c r="H18" s="161"/>
      <c r="I18" s="27" t="s">
        <v>57</v>
      </c>
      <c r="J18" s="161">
        <v>16299.011</v>
      </c>
      <c r="K18" s="161"/>
    </row>
    <row r="19" spans="1:23" ht="17.25" customHeight="1">
      <c r="A19" s="51" t="s">
        <v>62</v>
      </c>
      <c r="B19" s="117">
        <v>0</v>
      </c>
      <c r="C19" s="19"/>
      <c r="D19" s="19"/>
      <c r="E19" s="2"/>
      <c r="F19" s="29" t="s">
        <v>60</v>
      </c>
      <c r="G19" s="29" t="s">
        <v>61</v>
      </c>
      <c r="H19" s="29" t="s">
        <v>58</v>
      </c>
      <c r="I19" s="29" t="s">
        <v>59</v>
      </c>
      <c r="J19" s="29" t="s">
        <v>64</v>
      </c>
      <c r="L19" s="1" t="s">
        <v>153</v>
      </c>
      <c r="Q19" s="170" t="s">
        <v>66</v>
      </c>
      <c r="R19" s="170"/>
      <c r="S19" s="170"/>
      <c r="T19" s="48"/>
      <c r="U19"/>
      <c r="V19" s="46"/>
      <c r="W19" s="46"/>
    </row>
    <row r="20" spans="1:23" ht="17.25" customHeight="1">
      <c r="A20" s="1" t="s">
        <v>119</v>
      </c>
      <c r="B20" s="1" t="s">
        <v>45</v>
      </c>
      <c r="F20" s="9">
        <f>J17-G17</f>
        <v>-120.55600000000413</v>
      </c>
      <c r="G20" s="9">
        <f>J18-G18</f>
        <v>33.98999999999978</v>
      </c>
      <c r="H20" s="8">
        <f>IF(G20&gt;0,PI()+ATAN(G20/F20),ATAN(G20/F20))</f>
        <v>2.8667825052666585</v>
      </c>
      <c r="I20" s="9">
        <f>SQRT(F20^2+G20^2)</f>
        <v>125.2560147697546</v>
      </c>
      <c r="J20" s="8">
        <f>H20*$A$15</f>
        <v>164.25453833372023</v>
      </c>
      <c r="K20" s="12"/>
      <c r="L20" s="1" t="s">
        <v>154</v>
      </c>
      <c r="Q20" s="102" t="s">
        <v>67</v>
      </c>
      <c r="R20" s="40" t="s">
        <v>79</v>
      </c>
      <c r="S20" s="40" t="s">
        <v>83</v>
      </c>
      <c r="T20" s="46"/>
      <c r="W20" s="46"/>
    </row>
    <row r="21" spans="1:23" ht="17.25" customHeight="1">
      <c r="A21" s="99" t="s">
        <v>30</v>
      </c>
      <c r="B21" s="99" t="s">
        <v>8</v>
      </c>
      <c r="C21" s="158" t="s">
        <v>42</v>
      </c>
      <c r="D21" s="158"/>
      <c r="E21" s="158"/>
      <c r="F21" s="99" t="s">
        <v>44</v>
      </c>
      <c r="G21" s="99" t="s">
        <v>2</v>
      </c>
      <c r="H21" s="99" t="s">
        <v>47</v>
      </c>
      <c r="I21" s="28" t="s">
        <v>90</v>
      </c>
      <c r="J21" s="28" t="s">
        <v>91</v>
      </c>
      <c r="K21" s="52" t="s">
        <v>63</v>
      </c>
      <c r="L21" s="29" t="s">
        <v>10</v>
      </c>
      <c r="M21" s="29" t="s">
        <v>11</v>
      </c>
      <c r="N21" s="145"/>
      <c r="Q21" s="102" t="s">
        <v>5</v>
      </c>
      <c r="R21" s="41" t="s">
        <v>80</v>
      </c>
      <c r="S21" s="102" t="s">
        <v>84</v>
      </c>
      <c r="T21" s="46"/>
      <c r="W21" s="46"/>
    </row>
    <row r="22" spans="1:23" ht="17.25" customHeight="1">
      <c r="A22" s="100">
        <f>IF(K11-J11&gt;$F$11,"",IF(K11-J11=$F$11,$F$11,K11-J11))</f>
        <v>12.600000000000023</v>
      </c>
      <c r="B22" s="8">
        <f aca="true" t="shared" si="0" ref="B22:B29">IF(A22&gt;$F$11,"",(H22*$A$15))</f>
        <v>0.05911467217257053</v>
      </c>
      <c r="C22" s="20">
        <f aca="true" t="shared" si="1" ref="C22:C29">IF(A22&gt;$F$11,"",INT(B22))</f>
        <v>0</v>
      </c>
      <c r="D22" s="21">
        <f aca="true" t="shared" si="2" ref="D22:D29">IF(A22&gt;$F$11,"",TRUNC((H22*$A$15-C22)*60))</f>
        <v>3</v>
      </c>
      <c r="E22" s="22">
        <f aca="true" t="shared" si="3" ref="E22:E29">IF(A22&gt;$F$11,"",TRUNC(((H22*$A$15-C22)*60-D22)*60))</f>
        <v>32</v>
      </c>
      <c r="F22" s="23">
        <f>IF(A22&gt;$F$11,"",IF(ISERROR(ROUND(J22/SIN(H22),3)),A22,ROUND(J22/SIN(H22),3)))</f>
        <v>12.6</v>
      </c>
      <c r="G22" s="49">
        <f aca="true" t="shared" si="4" ref="G22:G29">IF(A22&gt;$F$11,"",$A$11^2/A22)</f>
        <v>2031.7460317460282</v>
      </c>
      <c r="H22" s="8">
        <f aca="true" t="shared" si="5" ref="H22:H29">IF(A22&gt;$F$11,"",ATAN(J22/I22))</f>
        <v>0.0010317456656484252</v>
      </c>
      <c r="I22" s="9">
        <f aca="true" t="shared" si="6" ref="I22:I29">IF(A22&gt;$F$11,"",ROUND(A22*(1-A22^2/40/G22^2+A22^4/3456/G22^4-A22^6/599040/G22^6),3))</f>
        <v>12.6</v>
      </c>
      <c r="J22" s="9">
        <f aca="true" t="shared" si="7" ref="J22:J29">IF(A22&gt;$F$11,"",ROUND(A22^2/6/G22*(1-A22^2/56/G22^2+A22^4/7040/G22^4-A22^6/1612800/G22^6),3))</f>
        <v>0.013</v>
      </c>
      <c r="K22" s="50">
        <f aca="true" t="shared" si="8" ref="K22:K29">IF(A22&gt;$F$11,"",IF($B$19=0,($B$18-H22),IF($B$19=1,($B$18+H22),"")))</f>
        <v>2.86575075960101</v>
      </c>
      <c r="L22" s="30">
        <f aca="true" t="shared" si="9" ref="L22:L29">IF(A22&gt;$F$11,"",$G$17+F22*COS(K22))</f>
        <v>-37922.68167265984</v>
      </c>
      <c r="M22" s="30">
        <f aca="true" t="shared" si="10" ref="M22:M29">IF(A22&gt;$F$11,"",$G$18+F22*SIN(K22))</f>
        <v>16268.452699467745</v>
      </c>
      <c r="N22" s="37"/>
      <c r="Q22" s="102" t="s">
        <v>2</v>
      </c>
      <c r="R22" s="42">
        <v>450</v>
      </c>
      <c r="S22" s="42">
        <v>320</v>
      </c>
      <c r="T22" s="46"/>
      <c r="W22" s="46"/>
    </row>
    <row r="23" spans="1:23" ht="17.25" customHeight="1">
      <c r="A23" s="100">
        <f>IF(A22="","",IF(A22+$L$11&gt;$F$11,"",IF(A22+$L$11=$F$11,$F$11,A22+$L$11)))</f>
        <v>32.60000000000002</v>
      </c>
      <c r="B23" s="8">
        <f t="shared" si="0"/>
        <v>0.39720969120812694</v>
      </c>
      <c r="C23" s="20">
        <f t="shared" si="1"/>
        <v>0</v>
      </c>
      <c r="D23" s="21">
        <f t="shared" si="2"/>
        <v>23</v>
      </c>
      <c r="E23" s="22">
        <f t="shared" si="3"/>
        <v>49</v>
      </c>
      <c r="F23" s="23">
        <f aca="true" t="shared" si="11" ref="F23:F29">IF(A23&gt;$F$11,"",IF(ISERROR(ROUND(J23/SIN(H23),3)),A23,ROUND(J23/SIN(H23),3)))</f>
        <v>32.6</v>
      </c>
      <c r="G23" s="49">
        <f t="shared" si="4"/>
        <v>785.2760736196313</v>
      </c>
      <c r="H23" s="8">
        <f t="shared" si="5"/>
        <v>0.006932616932411788</v>
      </c>
      <c r="I23" s="9">
        <f t="shared" si="6"/>
        <v>32.599</v>
      </c>
      <c r="J23" s="9">
        <f t="shared" si="7"/>
        <v>0.226</v>
      </c>
      <c r="K23" s="50">
        <f t="shared" si="8"/>
        <v>2.8598498883342467</v>
      </c>
      <c r="L23" s="30">
        <f t="shared" si="9"/>
        <v>-37941.872658807515</v>
      </c>
      <c r="M23" s="30">
        <f t="shared" si="10"/>
        <v>16274.08478197932</v>
      </c>
      <c r="N23" s="37"/>
      <c r="Q23" s="102" t="s">
        <v>1</v>
      </c>
      <c r="R23" s="42">
        <v>240</v>
      </c>
      <c r="S23" s="42">
        <v>160</v>
      </c>
      <c r="T23" s="46"/>
      <c r="W23" s="46"/>
    </row>
    <row r="24" spans="1:23" ht="17.25" customHeight="1">
      <c r="A24" s="100">
        <f aca="true" t="shared" si="12" ref="A24:A29">IF(A23="","",IF(A23+$L$11&gt;$F$11,"",IF(A23+$L$11=$F$11,$F$11,A23+$L$11)))</f>
        <v>52.60000000000002</v>
      </c>
      <c r="B24" s="8">
        <f t="shared" si="0"/>
        <v>1.0317246084610348</v>
      </c>
      <c r="C24" s="20">
        <f t="shared" si="1"/>
        <v>1</v>
      </c>
      <c r="D24" s="21">
        <f t="shared" si="2"/>
        <v>1</v>
      </c>
      <c r="E24" s="22">
        <f t="shared" si="3"/>
        <v>54</v>
      </c>
      <c r="F24" s="23">
        <f t="shared" si="11"/>
        <v>52.594</v>
      </c>
      <c r="G24" s="49">
        <f t="shared" si="4"/>
        <v>486.69201520912526</v>
      </c>
      <c r="H24" s="8">
        <f t="shared" si="5"/>
        <v>0.018006991391494403</v>
      </c>
      <c r="I24" s="9">
        <f t="shared" si="6"/>
        <v>52.585</v>
      </c>
      <c r="J24" s="9">
        <f t="shared" si="7"/>
        <v>0.947</v>
      </c>
      <c r="K24" s="50">
        <f t="shared" si="8"/>
        <v>2.848775513875164</v>
      </c>
      <c r="L24" s="30">
        <f t="shared" si="9"/>
        <v>-37960.913310448894</v>
      </c>
      <c r="M24" s="30">
        <f t="shared" si="10"/>
        <v>16280.202289325847</v>
      </c>
      <c r="N24" s="37"/>
      <c r="Q24" s="102" t="s">
        <v>3</v>
      </c>
      <c r="R24" s="43">
        <v>128</v>
      </c>
      <c r="S24" s="43">
        <v>80</v>
      </c>
      <c r="T24" s="46"/>
      <c r="W24" s="46"/>
    </row>
    <row r="25" spans="1:23" ht="17.25" customHeight="1">
      <c r="A25" s="100">
        <f t="shared" si="12"/>
        <v>72.60000000000002</v>
      </c>
      <c r="B25" s="8">
        <f t="shared" si="0"/>
        <v>1.9656280480745822</v>
      </c>
      <c r="C25" s="20">
        <f t="shared" si="1"/>
        <v>1</v>
      </c>
      <c r="D25" s="21">
        <f t="shared" si="2"/>
        <v>57</v>
      </c>
      <c r="E25" s="22">
        <f t="shared" si="3"/>
        <v>56</v>
      </c>
      <c r="F25" s="23">
        <f t="shared" si="11"/>
        <v>72.566</v>
      </c>
      <c r="G25" s="49">
        <f t="shared" si="4"/>
        <v>352.61707988980703</v>
      </c>
      <c r="H25" s="8">
        <f t="shared" si="5"/>
        <v>0.03430668130845085</v>
      </c>
      <c r="I25" s="9">
        <f t="shared" si="6"/>
        <v>72.523</v>
      </c>
      <c r="J25" s="9">
        <f t="shared" si="7"/>
        <v>2.489</v>
      </c>
      <c r="K25" s="50">
        <f t="shared" si="8"/>
        <v>2.8324758239582075</v>
      </c>
      <c r="L25" s="30">
        <f t="shared" si="9"/>
        <v>-37979.68456151928</v>
      </c>
      <c r="M25" s="30">
        <f t="shared" si="10"/>
        <v>16287.096843098754</v>
      </c>
      <c r="N25" s="37"/>
      <c r="Q25" s="102" t="s">
        <v>9</v>
      </c>
      <c r="R25" s="102" t="s">
        <v>81</v>
      </c>
      <c r="S25" s="102" t="s">
        <v>85</v>
      </c>
      <c r="T25" s="46"/>
      <c r="W25" s="46"/>
    </row>
    <row r="26" spans="1:23" ht="17.25" customHeight="1">
      <c r="A26" s="100">
        <f t="shared" si="12"/>
      </c>
      <c r="B26" s="8">
        <f t="shared" si="0"/>
      </c>
      <c r="C26" s="20">
        <f t="shared" si="1"/>
      </c>
      <c r="D26" s="21">
        <f t="shared" si="2"/>
      </c>
      <c r="E26" s="22">
        <f t="shared" si="3"/>
      </c>
      <c r="F26" s="23">
        <f t="shared" si="11"/>
      </c>
      <c r="G26" s="49">
        <f t="shared" si="4"/>
      </c>
      <c r="H26" s="8">
        <f t="shared" si="5"/>
      </c>
      <c r="I26" s="9">
        <f t="shared" si="6"/>
      </c>
      <c r="J26" s="9">
        <f t="shared" si="7"/>
      </c>
      <c r="K26" s="50">
        <f t="shared" si="8"/>
      </c>
      <c r="L26" s="30">
        <f t="shared" si="9"/>
      </c>
      <c r="M26" s="30">
        <f t="shared" si="10"/>
      </c>
      <c r="N26" s="37"/>
      <c r="Q26" s="102" t="s">
        <v>68</v>
      </c>
      <c r="R26" s="42">
        <v>42.749</v>
      </c>
      <c r="S26" s="42">
        <v>26.706</v>
      </c>
      <c r="T26" s="46"/>
      <c r="W26" s="46"/>
    </row>
    <row r="27" spans="1:23" ht="17.25" customHeight="1">
      <c r="A27" s="100">
        <f t="shared" si="12"/>
      </c>
      <c r="B27" s="8">
        <f t="shared" si="0"/>
      </c>
      <c r="C27" s="20">
        <f t="shared" si="1"/>
      </c>
      <c r="D27" s="21">
        <f t="shared" si="2"/>
      </c>
      <c r="E27" s="22">
        <f t="shared" si="3"/>
      </c>
      <c r="F27" s="23">
        <f t="shared" si="11"/>
      </c>
      <c r="G27" s="49">
        <f t="shared" si="4"/>
      </c>
      <c r="H27" s="8">
        <f t="shared" si="5"/>
      </c>
      <c r="I27" s="9">
        <f t="shared" si="6"/>
      </c>
      <c r="J27" s="9">
        <f t="shared" si="7"/>
      </c>
      <c r="K27" s="50">
        <f t="shared" si="8"/>
      </c>
      <c r="L27" s="30">
        <f t="shared" si="9"/>
      </c>
      <c r="M27" s="30">
        <f t="shared" si="10"/>
      </c>
      <c r="N27" s="37"/>
      <c r="Q27" s="102" t="s">
        <v>69</v>
      </c>
      <c r="R27" s="42">
        <v>85.424</v>
      </c>
      <c r="S27" s="42">
        <v>53.377</v>
      </c>
      <c r="T27" s="46"/>
      <c r="W27" s="46"/>
    </row>
    <row r="28" spans="1:23" ht="17.25" customHeight="1">
      <c r="A28" s="100">
        <f t="shared" si="12"/>
      </c>
      <c r="B28" s="8">
        <f t="shared" si="0"/>
      </c>
      <c r="C28" s="20">
        <f t="shared" si="1"/>
      </c>
      <c r="D28" s="21">
        <f t="shared" si="2"/>
      </c>
      <c r="E28" s="22">
        <f t="shared" si="3"/>
      </c>
      <c r="F28" s="23">
        <f t="shared" si="11"/>
      </c>
      <c r="G28" s="49">
        <f t="shared" si="4"/>
      </c>
      <c r="H28" s="8">
        <f t="shared" si="5"/>
      </c>
      <c r="I28" s="9">
        <f t="shared" si="6"/>
      </c>
      <c r="J28" s="9">
        <f t="shared" si="7"/>
      </c>
      <c r="K28" s="50">
        <f t="shared" si="8"/>
      </c>
      <c r="L28" s="30">
        <f t="shared" si="9"/>
      </c>
      <c r="M28" s="30">
        <f t="shared" si="10"/>
      </c>
      <c r="N28" s="37"/>
      <c r="Q28" s="102" t="s">
        <v>70</v>
      </c>
      <c r="R28" s="42">
        <v>190.551</v>
      </c>
      <c r="S28" s="42">
        <v>125.257</v>
      </c>
      <c r="T28" s="46"/>
      <c r="W28" s="46"/>
    </row>
    <row r="29" spans="1:23" ht="17.25" customHeight="1">
      <c r="A29" s="100">
        <f t="shared" si="12"/>
      </c>
      <c r="B29" s="8">
        <f t="shared" si="0"/>
      </c>
      <c r="C29" s="20">
        <f t="shared" si="1"/>
      </c>
      <c r="D29" s="21">
        <f t="shared" si="2"/>
      </c>
      <c r="E29" s="22">
        <f t="shared" si="3"/>
      </c>
      <c r="F29" s="23">
        <f t="shared" si="11"/>
      </c>
      <c r="G29" s="49">
        <f t="shared" si="4"/>
      </c>
      <c r="H29" s="8">
        <f t="shared" si="5"/>
      </c>
      <c r="I29" s="9">
        <f t="shared" si="6"/>
      </c>
      <c r="J29" s="9">
        <f t="shared" si="7"/>
      </c>
      <c r="K29" s="50">
        <f t="shared" si="8"/>
      </c>
      <c r="L29" s="30">
        <f t="shared" si="9"/>
      </c>
      <c r="M29" s="30">
        <f t="shared" si="10"/>
      </c>
      <c r="N29" s="37"/>
      <c r="Q29" s="102" t="s">
        <v>71</v>
      </c>
      <c r="R29" s="102" t="s">
        <v>82</v>
      </c>
      <c r="S29" s="102" t="s">
        <v>86</v>
      </c>
      <c r="T29" s="47" t="s">
        <v>87</v>
      </c>
      <c r="W29" s="46"/>
    </row>
    <row r="30" spans="1:23" ht="17.25" customHeight="1">
      <c r="A30" s="97" t="s">
        <v>129</v>
      </c>
      <c r="C30" s="53" t="s">
        <v>104</v>
      </c>
      <c r="D30" s="32"/>
      <c r="E30" s="33"/>
      <c r="F30" s="34"/>
      <c r="G30" s="56"/>
      <c r="H30" s="31"/>
      <c r="I30" s="35"/>
      <c r="J30" s="35"/>
      <c r="K30" s="54"/>
      <c r="L30" s="37"/>
      <c r="M30" s="37"/>
      <c r="N30" s="37"/>
      <c r="Q30" s="102" t="s">
        <v>72</v>
      </c>
      <c r="R30" s="42">
        <v>118.021</v>
      </c>
      <c r="S30" s="42">
        <v>86.268</v>
      </c>
      <c r="T30" s="46"/>
      <c r="W30" s="46"/>
    </row>
    <row r="31" spans="1:23" ht="17.25" customHeight="1">
      <c r="A31" s="99" t="s">
        <v>30</v>
      </c>
      <c r="B31" s="99" t="s">
        <v>8</v>
      </c>
      <c r="C31" s="158" t="s">
        <v>42</v>
      </c>
      <c r="D31" s="158"/>
      <c r="E31" s="158"/>
      <c r="F31" s="73" t="s">
        <v>108</v>
      </c>
      <c r="G31" s="133"/>
      <c r="H31" s="134"/>
      <c r="I31" s="135"/>
      <c r="J31" s="136"/>
      <c r="K31" s="65" t="s">
        <v>107</v>
      </c>
      <c r="L31" s="59" t="s">
        <v>10</v>
      </c>
      <c r="M31" s="59" t="s">
        <v>130</v>
      </c>
      <c r="N31" s="145"/>
      <c r="Q31" s="102" t="s">
        <v>73</v>
      </c>
      <c r="R31" s="42">
        <v>59.351</v>
      </c>
      <c r="S31" s="42">
        <v>43.397</v>
      </c>
      <c r="T31" s="46"/>
      <c r="W31" s="46"/>
    </row>
    <row r="32" spans="1:23" ht="17.25" customHeight="1">
      <c r="A32" s="137">
        <v>4.25</v>
      </c>
      <c r="B32" s="50">
        <f>IF(2*PI()&lt;(B18*$A$15-90)*$A$13,(B18*$A$15-90)*$A$13-2*PI(),(B18*$A$15-90)*$A$13)</f>
        <v>1.2959861784717621</v>
      </c>
      <c r="C32" s="17">
        <f>TRUNC(B32*$A$15)</f>
        <v>74</v>
      </c>
      <c r="D32" s="4">
        <f>TRUNC((B32*$A$15-C32)*60)</f>
        <v>15</v>
      </c>
      <c r="E32" s="18">
        <f>TRUNC(((B32*$A$15-C32)*60-D32)*60)</f>
        <v>16</v>
      </c>
      <c r="F32" s="74">
        <f>IF($B$19=0,$B$11-A32,IF($B$19=1,$B$11+A32,""))</f>
        <v>315.75</v>
      </c>
      <c r="G32" s="56"/>
      <c r="H32" s="31"/>
      <c r="I32" s="35"/>
      <c r="K32" s="60" t="s">
        <v>131</v>
      </c>
      <c r="L32" s="30">
        <f>$G$17+A32*COS(B32)</f>
        <v>-37909.40470209039</v>
      </c>
      <c r="M32" s="30">
        <f>$G$18+A32*SIN(B32)</f>
        <v>16269.11152611918</v>
      </c>
      <c r="N32" s="37"/>
      <c r="Q32" s="102" t="s">
        <v>23</v>
      </c>
      <c r="R32" s="42">
        <v>3.897</v>
      </c>
      <c r="S32" s="42">
        <v>2.929</v>
      </c>
      <c r="T32" s="46"/>
      <c r="W32" s="46"/>
    </row>
    <row r="33" spans="1:23" ht="17.25" customHeight="1">
      <c r="A33" s="138">
        <v>4.25</v>
      </c>
      <c r="B33" s="50">
        <f>IF(2*PI()&lt;(B18*$A$15+90)*$A$13,(B18*$A$15+90)*$A$13-2*PI(),(B18*$A$15+90)*$A$13)</f>
        <v>4.437578832061555</v>
      </c>
      <c r="C33" s="17">
        <f>TRUNC(B33*$A$15)</f>
        <v>254</v>
      </c>
      <c r="D33" s="4">
        <f>TRUNC((B33*$A$15-C33)*60)</f>
        <v>15</v>
      </c>
      <c r="E33" s="18">
        <f>TRUNC(((B33*$A$15-C33)*60-D33)*60)</f>
        <v>16</v>
      </c>
      <c r="F33" s="74">
        <f>IF($B$19=0,$B$11+A33,IF($B$19=1,$B$11-A33,""))</f>
        <v>324.25</v>
      </c>
      <c r="G33" s="89"/>
      <c r="H33" s="86"/>
      <c r="I33" s="84"/>
      <c r="J33" s="87"/>
      <c r="K33" s="60" t="s">
        <v>132</v>
      </c>
      <c r="L33" s="93">
        <f>$G$17+A33*COS(B33)</f>
        <v>-37911.711297909605</v>
      </c>
      <c r="M33" s="93">
        <f>$G$18+A33*SIN(B33)</f>
        <v>16260.93047388082</v>
      </c>
      <c r="N33" s="146"/>
      <c r="Q33" s="102" t="s">
        <v>74</v>
      </c>
      <c r="R33" s="42">
        <v>229.915</v>
      </c>
      <c r="S33" s="42">
        <v>529.824</v>
      </c>
      <c r="T33" s="46"/>
      <c r="W33" s="46"/>
    </row>
    <row r="34" spans="1:23" ht="17.25" customHeight="1">
      <c r="A34" s="77" t="s">
        <v>115</v>
      </c>
      <c r="B34" s="78" t="s">
        <v>147</v>
      </c>
      <c r="C34" s="158" t="s">
        <v>42</v>
      </c>
      <c r="D34" s="158"/>
      <c r="E34" s="158"/>
      <c r="F34" s="149" t="s">
        <v>148</v>
      </c>
      <c r="G34" s="149" t="s">
        <v>148</v>
      </c>
      <c r="H34" s="57"/>
      <c r="I34" s="58"/>
      <c r="J34" s="58"/>
      <c r="K34" s="75" t="s">
        <v>116</v>
      </c>
      <c r="L34" s="59" t="s">
        <v>10</v>
      </c>
      <c r="M34" s="59" t="s">
        <v>130</v>
      </c>
      <c r="N34" s="145"/>
      <c r="Q34" s="102" t="s">
        <v>75</v>
      </c>
      <c r="R34" s="42">
        <v>39.365</v>
      </c>
      <c r="S34" s="43">
        <v>627.4</v>
      </c>
      <c r="T34" s="46"/>
      <c r="W34" s="46"/>
    </row>
    <row r="35" spans="1:23" ht="17.25" customHeight="1">
      <c r="A35" s="156">
        <f>A22</f>
        <v>12.600000000000023</v>
      </c>
      <c r="B35" s="50">
        <f>IF(A35&gt;$F$11,"",G35*$A$13)</f>
        <v>1.2928909414748164</v>
      </c>
      <c r="C35" s="17">
        <f>IF(A35&gt;$F$11,"",TRUNC(B35*$A$15))</f>
        <v>74</v>
      </c>
      <c r="D35" s="4">
        <f>IF(A35&gt;$F$11,"",TRUNC((B35*$A$15-C35)*60))</f>
        <v>4</v>
      </c>
      <c r="E35" s="4">
        <f>IF(A35&gt;$F$11,"",TRUNC(((B35*$A$15-C35)*60-D35)*60))</f>
        <v>37</v>
      </c>
      <c r="F35" s="150">
        <f>IF(A35="","",IF($B$19=0,K22*$A$15-90-B22*2,IF($B$19=1,K22*$A$15-90+B22*2)))</f>
        <v>74.0771943172025</v>
      </c>
      <c r="G35" s="100">
        <f>IF(F35="","",IF(F35&gt;360,F35-360,F35))</f>
        <v>74.0771943172025</v>
      </c>
      <c r="H35" s="81"/>
      <c r="I35" s="82"/>
      <c r="J35" s="83"/>
      <c r="K35" s="159">
        <f>K11</f>
        <v>640</v>
      </c>
      <c r="L35" s="72">
        <f>IF(A35&gt;$F$11,"",L22+$A$32*COS(B35))</f>
        <v>-37921.515719147246</v>
      </c>
      <c r="M35" s="152">
        <f>IF(A35&gt;$F$11,"",M22+$A$32*SIN(B35))</f>
        <v>16272.539636267655</v>
      </c>
      <c r="N35" s="147"/>
      <c r="Q35" s="102" t="s">
        <v>76</v>
      </c>
      <c r="R35" s="42">
        <v>167.365</v>
      </c>
      <c r="S35" s="42">
        <v>707.402</v>
      </c>
      <c r="T35" s="46"/>
      <c r="W35" s="46"/>
    </row>
    <row r="36" spans="1:23" ht="17.25" customHeight="1">
      <c r="A36" s="157"/>
      <c r="B36" s="55">
        <f>IF(A35&gt;$F$11,"",G36*$A$13)</f>
        <v>4.434483595064609</v>
      </c>
      <c r="C36" s="17">
        <f>IF(A35&gt;$F$11,"",TRUNC(B36*$A$15))</f>
        <v>254</v>
      </c>
      <c r="D36" s="4">
        <f>IF(A35&gt;$F$11,"",TRUNC((B36*$A$15-C36)*60))</f>
        <v>4</v>
      </c>
      <c r="E36" s="4">
        <f>IF(A35&gt;$F$11,"",TRUNC(((B36*$A$15-C36)*60-D36)*60))</f>
        <v>37</v>
      </c>
      <c r="F36" s="151">
        <f>IF(A35="","",IF($B$19=0,K22*$A$15+90-B22*2,IF($B$19=1,K22*$A$15+90+B22*2)))</f>
        <v>254.0771943172025</v>
      </c>
      <c r="G36" s="100">
        <f>IF(F36="","",IF(F36&gt;360,F36-360,F36))</f>
        <v>254.0771943172025</v>
      </c>
      <c r="H36" s="3"/>
      <c r="I36" s="79"/>
      <c r="J36" s="80"/>
      <c r="K36" s="160"/>
      <c r="L36" s="94">
        <f>IF(A35&gt;$F$11,"",L22+$A$33*COS(B36))</f>
        <v>-37923.847626172435</v>
      </c>
      <c r="M36" s="153">
        <f>IF(A35&gt;$F$11,"",M22+$A$33*SIN(B36))</f>
        <v>16264.365762667836</v>
      </c>
      <c r="N36" s="148"/>
      <c r="Q36" s="102" t="s">
        <v>77</v>
      </c>
      <c r="R36" s="42">
        <v>285.385</v>
      </c>
      <c r="S36" s="43">
        <v>793.67</v>
      </c>
      <c r="T36" s="46"/>
      <c r="W36" s="46"/>
    </row>
    <row r="37" spans="1:23" ht="17.25" customHeight="1">
      <c r="A37" s="166">
        <f>A23</f>
        <v>32.60000000000002</v>
      </c>
      <c r="B37" s="50">
        <f>IF(A37&gt;$F$11,"",G37*$A$13)</f>
        <v>1.2751883276745266</v>
      </c>
      <c r="C37" s="17">
        <f>IF(A37&gt;$F$11,"",TRUNC(B37*$A$15))</f>
        <v>73</v>
      </c>
      <c r="D37" s="4">
        <f>IF(A37&gt;$F$11,"",TRUNC((B37*$A$15-C37)*60))</f>
        <v>3</v>
      </c>
      <c r="E37" s="4">
        <f>IF(A37&gt;$F$11,"",TRUNC(((B37*$A$15-C37)*60-D37)*60))</f>
        <v>46</v>
      </c>
      <c r="F37" s="150">
        <f>IF(A37="","",IF($B$19=0,K23*$A$15-90-B23*2,IF($B$19=1,K23*$A$15-90+B23*2)))</f>
        <v>73.06290926009585</v>
      </c>
      <c r="G37" s="100">
        <f aca="true" t="shared" si="13" ref="G37:G50">IF(F37="","",IF(F37&gt;360,F37-360,F37))</f>
        <v>73.06290926009585</v>
      </c>
      <c r="H37" s="81"/>
      <c r="I37" s="82"/>
      <c r="J37" s="83"/>
      <c r="K37" s="159">
        <f>IF(K35="","",IF(K35+$L$11&gt;$J$11+$F$11,"",K35+$L$11))</f>
        <v>660</v>
      </c>
      <c r="L37" s="72">
        <f>IF(A37&gt;$F$11,"",L23+$A$32*COS(B37))</f>
        <v>-37940.63454229987</v>
      </c>
      <c r="M37" s="152">
        <f>IF(A37&gt;$F$11,"",M23+$A$32*SIN(B37))</f>
        <v>16278.150439061945</v>
      </c>
      <c r="N37" s="147"/>
      <c r="Q37" s="102" t="s">
        <v>78</v>
      </c>
      <c r="R37" s="42">
        <v>413.385</v>
      </c>
      <c r="S37" s="43">
        <v>873.67</v>
      </c>
      <c r="T37" s="46"/>
      <c r="W37" s="46"/>
    </row>
    <row r="38" spans="1:23" ht="17.25" customHeight="1">
      <c r="A38" s="166"/>
      <c r="B38" s="55">
        <f>IF(A37&gt;$F$11,"",G38*$A$13)</f>
        <v>4.41678098126432</v>
      </c>
      <c r="C38" s="17">
        <f>IF(A37&gt;$F$11,"",TRUNC(B38*$A$15))</f>
        <v>253</v>
      </c>
      <c r="D38" s="4">
        <f>IF(A37&gt;$F$11,"",TRUNC((B38*$A$15-C38)*60))</f>
        <v>3</v>
      </c>
      <c r="E38" s="4">
        <f>IF(A37&gt;$F$11,"",TRUNC(((B38*$A$15-C38)*60-D38)*60))</f>
        <v>46</v>
      </c>
      <c r="F38" s="151">
        <f>IF(A37="","",IF($B$19=0,K23*$A$15+90-B23*2,IF($B$19=1,K23*$A$15+90+B23*2)))</f>
        <v>253.06290926009584</v>
      </c>
      <c r="G38" s="100">
        <f t="shared" si="13"/>
        <v>253.06290926009584</v>
      </c>
      <c r="H38" s="3"/>
      <c r="I38" s="79"/>
      <c r="J38" s="80"/>
      <c r="K38" s="160"/>
      <c r="L38" s="94">
        <f>IF(A37&gt;$F$11,"",L23+$A$33*COS(B38))</f>
        <v>-37943.11077531516</v>
      </c>
      <c r="M38" s="153">
        <f>IF(A37&gt;$F$11,"",M23+$A$33*SIN(B38))</f>
        <v>16270.019124896695</v>
      </c>
      <c r="N38" s="148"/>
      <c r="Q38" s="102" t="s">
        <v>10</v>
      </c>
      <c r="R38" s="44">
        <v>-37521.171</v>
      </c>
      <c r="S38" s="45">
        <v>-38031.114</v>
      </c>
      <c r="T38" s="46"/>
      <c r="W38" s="46"/>
    </row>
    <row r="39" spans="1:23" ht="17.25" customHeight="1">
      <c r="A39" s="166">
        <f>A24</f>
        <v>52.60000000000002</v>
      </c>
      <c r="B39" s="50">
        <f>IF(A39&gt;$F$11,"",G39*$A$13)</f>
        <v>1.2419652042972786</v>
      </c>
      <c r="C39" s="17">
        <f>IF(A39&gt;$F$11,"",TRUNC(B39*$A$15))</f>
        <v>71</v>
      </c>
      <c r="D39" s="4">
        <f>IF(A39&gt;$F$11,"",TRUNC((B39*$A$15-C39)*60))</f>
        <v>9</v>
      </c>
      <c r="E39" s="4">
        <f>IF(A39&gt;$F$11,"",TRUNC(((B39*$A$15-C39)*60-D39)*60))</f>
        <v>33</v>
      </c>
      <c r="F39" s="150">
        <f>IF(A39="","",IF($B$19=0,K24*$A$15-90-B24*2,IF($B$19=1,K24*$A$15-90+B24*2)))</f>
        <v>71.15936450833712</v>
      </c>
      <c r="G39" s="100">
        <f t="shared" si="13"/>
        <v>71.15936450833712</v>
      </c>
      <c r="H39" s="81"/>
      <c r="I39" s="82"/>
      <c r="J39" s="85"/>
      <c r="K39" s="159">
        <f>IF(K37="","",IF(K37+$L$11&gt;$J$11+$F$11,"",K37+$L$11))</f>
        <v>680</v>
      </c>
      <c r="L39" s="72">
        <f>IF(A39&gt;$F$11,"",L24+$A$32*COS(B39))</f>
        <v>-37959.5408282003</v>
      </c>
      <c r="M39" s="152">
        <f>IF(A39&gt;$F$11,"",M24+$A$32*SIN(B39))</f>
        <v>16284.224576296874</v>
      </c>
      <c r="N39" s="147"/>
      <c r="Q39" s="102" t="s">
        <v>11</v>
      </c>
      <c r="R39" s="44">
        <v>16155.237</v>
      </c>
      <c r="S39" s="45">
        <v>16299.011</v>
      </c>
      <c r="T39" s="46"/>
      <c r="W39" s="46"/>
    </row>
    <row r="40" spans="1:23" ht="17.25" customHeight="1">
      <c r="A40" s="166"/>
      <c r="B40" s="55">
        <f>IF(A39&gt;$F$11,"",G40*$A$13)</f>
        <v>4.383557857887072</v>
      </c>
      <c r="C40" s="17">
        <f>IF(A39&gt;$F$11,"",TRUNC(B40*$A$15))</f>
        <v>251</v>
      </c>
      <c r="D40" s="4">
        <f>IF(A39&gt;$F$11,"",TRUNC((B40*$A$15-C40)*60))</f>
        <v>9</v>
      </c>
      <c r="E40" s="4">
        <f>IF(A39&gt;$F$11,"",TRUNC(((B40*$A$15-C40)*60-D40)*60))</f>
        <v>33</v>
      </c>
      <c r="F40" s="151">
        <f>IF(A39="","",IF($B$19=0,K24*$A$15+90-B24*2,IF($B$19=1,K24*$A$15+90+B24*2)))</f>
        <v>251.15936450833712</v>
      </c>
      <c r="G40" s="100">
        <f t="shared" si="13"/>
        <v>251.15936450833712</v>
      </c>
      <c r="H40" s="3"/>
      <c r="I40" s="79"/>
      <c r="J40" s="84"/>
      <c r="K40" s="160"/>
      <c r="L40" s="94">
        <f>IF(A39&gt;$F$11,"",L24+$A$33*COS(B40))</f>
        <v>-37962.28579269749</v>
      </c>
      <c r="M40" s="153">
        <f>IF(A39&gt;$F$11,"",M24+$A$33*SIN(B40))</f>
        <v>16276.18000235482</v>
      </c>
      <c r="N40" s="148"/>
      <c r="Q40" s="39"/>
      <c r="R40"/>
      <c r="S40" s="48"/>
      <c r="T40" s="48"/>
      <c r="U40"/>
      <c r="V40" s="46"/>
      <c r="W40" s="46"/>
    </row>
    <row r="41" spans="1:23" ht="17.25" customHeight="1">
      <c r="A41" s="166">
        <f>A25</f>
        <v>72.60000000000002</v>
      </c>
      <c r="B41" s="50">
        <f>IF(A41&gt;$F$11,"",G41*$A$13)</f>
        <v>1.1930661345464093</v>
      </c>
      <c r="C41" s="17">
        <f>IF(A41&gt;$F$11,"",TRUNC(B41*$A$15))</f>
        <v>68</v>
      </c>
      <c r="D41" s="4">
        <f>IF(A41&gt;$F$11,"",TRUNC((B41*$A$15-C41)*60))</f>
        <v>21</v>
      </c>
      <c r="E41" s="4">
        <f>IF(A41&gt;$F$11,"",TRUNC(((B41*$A$15-C41)*60-D41)*60))</f>
        <v>27</v>
      </c>
      <c r="F41" s="150">
        <f>IF(A41="","",IF($B$19=0,K25*$A$15-90-B25*2,IF($B$19=1,K25*$A$15-90+B25*2)))</f>
        <v>68.35765418949647</v>
      </c>
      <c r="G41" s="100">
        <f t="shared" si="13"/>
        <v>68.35765418949647</v>
      </c>
      <c r="H41" s="81"/>
      <c r="I41" s="82"/>
      <c r="J41" s="88"/>
      <c r="K41" s="159">
        <f>IF(K39="","",IF(K39+$L$11&gt;$J$11+$F$11,"",K39+$L$11))</f>
        <v>700</v>
      </c>
      <c r="L41" s="72">
        <f>IF(A41&gt;$F$11,"",L25+$A$32*COS(B41))</f>
        <v>-37978.11711211074</v>
      </c>
      <c r="M41" s="152">
        <f>IF(A41&gt;$F$11,"",M25+$A$32*SIN(B41))</f>
        <v>16291.047235781978</v>
      </c>
      <c r="N41" s="147"/>
      <c r="Q41" s="39" t="s">
        <v>88</v>
      </c>
      <c r="R41">
        <v>-37628.311</v>
      </c>
      <c r="S41">
        <v>16293.347</v>
      </c>
      <c r="T41" s="48"/>
      <c r="U41"/>
      <c r="V41" s="46"/>
      <c r="W41" s="46"/>
    </row>
    <row r="42" spans="1:23" ht="17.25" customHeight="1">
      <c r="A42" s="166"/>
      <c r="B42" s="55">
        <f>IF(A41&gt;$F$11,"",G42*$A$13)</f>
        <v>4.334658788136203</v>
      </c>
      <c r="C42" s="17">
        <f>IF(A41&gt;$F$11,"",TRUNC(B42*$A$15))</f>
        <v>248</v>
      </c>
      <c r="D42" s="4">
        <f>IF(A41&gt;$F$11,"",TRUNC((B42*$A$15-C42)*60))</f>
        <v>21</v>
      </c>
      <c r="E42" s="4">
        <f>IF(A41&gt;$F$11,"",TRUNC(((B42*$A$15-C42)*60-D42)*60))</f>
        <v>27</v>
      </c>
      <c r="F42" s="151">
        <f>IF(A41="","",IF($B$19=0,K25*$A$15+90-B25*2,IF($B$19=1,K25*$A$15+90+B25*2)))</f>
        <v>248.3576541894965</v>
      </c>
      <c r="G42" s="100">
        <f t="shared" si="13"/>
        <v>248.3576541894965</v>
      </c>
      <c r="H42" s="3"/>
      <c r="I42" s="79"/>
      <c r="J42" s="86"/>
      <c r="K42" s="160"/>
      <c r="L42" s="94">
        <f>IF(A41&gt;$F$11,"",L25+$A$33*COS(B42))</f>
        <v>-37981.25201092782</v>
      </c>
      <c r="M42" s="153">
        <f>IF(A41&gt;$F$11,"",M25+$A$33*SIN(B42))</f>
        <v>16283.14645041553</v>
      </c>
      <c r="N42" s="148"/>
      <c r="Q42" s="39" t="s">
        <v>89</v>
      </c>
      <c r="R42">
        <v>-38395.745</v>
      </c>
      <c r="S42" s="48">
        <v>16708.21</v>
      </c>
      <c r="T42" s="48"/>
      <c r="U42"/>
      <c r="V42" s="46"/>
      <c r="W42" s="46"/>
    </row>
    <row r="43" spans="1:14" ht="17.25" customHeight="1">
      <c r="A43" s="166">
        <f>A26</f>
      </c>
      <c r="B43" s="50">
        <f>IF(A43&gt;$F$11,"",G43*$A$13)</f>
      </c>
      <c r="C43" s="17">
        <f>IF(A43&gt;$F$11,"",TRUNC(B43*$A$15))</f>
      </c>
      <c r="D43" s="4">
        <f>IF(A43&gt;$F$11,"",TRUNC((B43*$A$15-C43)*60))</f>
      </c>
      <c r="E43" s="4">
        <f>IF(A43&gt;$F$11,"",TRUNC(((B43*$A$15-C43)*60-D43)*60))</f>
      </c>
      <c r="F43" s="150">
        <f>IF(A43="","",IF($B$19=0,K26*$A$15-90-B26*2,IF($B$19=1,K26*$A$15-90+B26*2)))</f>
      </c>
      <c r="G43" s="100">
        <f t="shared" si="13"/>
      </c>
      <c r="H43" s="81"/>
      <c r="I43" s="82"/>
      <c r="J43" s="88"/>
      <c r="K43" s="159">
        <f>IF(K41="","",IF(K41+$L$11&gt;$J$11+$F$11,"",K41+$L$11))</f>
      </c>
      <c r="L43" s="72">
        <f>IF(A43&gt;$F$11,"",L26+$A$32*COS(B43))</f>
      </c>
      <c r="M43" s="152">
        <f>IF(A43&gt;$F$11,"",M26+$A$32*SIN(B43))</f>
      </c>
      <c r="N43" s="147"/>
    </row>
    <row r="44" spans="1:14" ht="17.25" customHeight="1">
      <c r="A44" s="166"/>
      <c r="B44" s="55">
        <f>IF(A43&gt;$F$11,"",G44*$A$13)</f>
      </c>
      <c r="C44" s="17">
        <f>IF(A43&gt;$F$11,"",TRUNC(B44*$A$15))</f>
      </c>
      <c r="D44" s="4">
        <f>IF(A43&gt;$F$11,"",TRUNC((B44*$A$15-C44)*60))</f>
      </c>
      <c r="E44" s="4">
        <f>IF(A43&gt;$F$11,"",TRUNC(((B44*$A$15-C44)*60-D44)*60))</f>
      </c>
      <c r="F44" s="151">
        <f>IF(A43="","",IF($B$19=0,K26*$A$15+90-B26*2,IF($B$19=1,K26*$A$15+90+B26*2)))</f>
      </c>
      <c r="G44" s="100">
        <f t="shared" si="13"/>
      </c>
      <c r="H44" s="3"/>
      <c r="I44" s="79"/>
      <c r="J44" s="86"/>
      <c r="K44" s="160"/>
      <c r="L44" s="94">
        <f>IF(A43&gt;$F$11,"",L26+$A$33*COS(B44))</f>
      </c>
      <c r="M44" s="153">
        <f>IF(A43&gt;$F$11,"",M26+$A$33*SIN(B44))</f>
      </c>
      <c r="N44" s="148"/>
    </row>
    <row r="45" spans="1:14" ht="17.25" customHeight="1">
      <c r="A45" s="166">
        <f>A27</f>
      </c>
      <c r="B45" s="50">
        <f>IF(A45&gt;$F$11,"",G45*$A$13)</f>
      </c>
      <c r="C45" s="17">
        <f>IF(A45&gt;$F$11,"",TRUNC(B45*$A$15))</f>
      </c>
      <c r="D45" s="4">
        <f>IF(A45&gt;$F$11,"",TRUNC((B45*$A$15-C45)*60))</f>
      </c>
      <c r="E45" s="4">
        <f>IF(A45&gt;$F$11,"",TRUNC(((B45*$A$15-C45)*60-D45)*60))</f>
      </c>
      <c r="F45" s="150">
        <f>IF(A45="","",IF($B$19=0,K27*$A$15-90-B27*2,IF($B$19=1,K27*$A$15-90+B27*2)))</f>
      </c>
      <c r="G45" s="100">
        <f t="shared" si="13"/>
      </c>
      <c r="H45" s="81"/>
      <c r="I45" s="82"/>
      <c r="J45" s="88"/>
      <c r="K45" s="159">
        <f>IF(K43="","",IF(K43+$L$11&gt;$J$11+$F$11,"",K43+$L$11))</f>
      </c>
      <c r="L45" s="72">
        <f>IF(A45&gt;$F$11,"",L27+$A$32*COS(B45))</f>
      </c>
      <c r="M45" s="152">
        <f>IF(A45&gt;$F$11,"",M27+$A$32*SIN(B45))</f>
      </c>
      <c r="N45" s="147"/>
    </row>
    <row r="46" spans="1:14" ht="17.25" customHeight="1">
      <c r="A46" s="166"/>
      <c r="B46" s="55">
        <f>IF(A45&gt;$F$11,"",G46*$A$13)</f>
      </c>
      <c r="C46" s="17">
        <f>IF(A45&gt;$F$11,"",TRUNC(B46*$A$15))</f>
      </c>
      <c r="D46" s="4">
        <f>IF(A45&gt;$F$11,"",TRUNC((B46*$A$15-C46)*60))</f>
      </c>
      <c r="E46" s="4">
        <f>IF(A45&gt;$F$11,"",TRUNC(((B46*$A$15-C46)*60-D46)*60))</f>
      </c>
      <c r="F46" s="151">
        <f>IF(A45="","",IF($B$19=0,K27*$A$15+90-B27*2,IF($B$19=1,K27*$A$15+90+B27*2)))</f>
      </c>
      <c r="G46" s="100">
        <f t="shared" si="13"/>
      </c>
      <c r="H46" s="3"/>
      <c r="I46" s="79"/>
      <c r="J46" s="86"/>
      <c r="K46" s="160"/>
      <c r="L46" s="94">
        <f>IF(A45&gt;$F$11,"",L27+$A$33*COS(B46))</f>
      </c>
      <c r="M46" s="153">
        <f>IF(A45&gt;$F$11,"",M27+$A$33*SIN(B46))</f>
      </c>
      <c r="N46" s="148"/>
    </row>
    <row r="47" spans="1:14" ht="17.25" customHeight="1">
      <c r="A47" s="166">
        <f>A28</f>
      </c>
      <c r="B47" s="50">
        <f>IF(A47&gt;$F$11,"",G47*$A$13)</f>
      </c>
      <c r="C47" s="17">
        <f>IF(A47&gt;$F$11,"",TRUNC(B47*$A$15))</f>
      </c>
      <c r="D47" s="4">
        <f>IF(A47&gt;$F$11,"",TRUNC((B47*$A$15-C47)*60))</f>
      </c>
      <c r="E47" s="4">
        <f>IF(A47&gt;$F$11,"",TRUNC(((B47*$A$15-C47)*60-D47)*60))</f>
      </c>
      <c r="F47" s="150">
        <f>IF(A47="","",IF($B$19=0,K28*$A$15-90-B28*2,IF($B$19=1,K28*$A$15-90+B28*2)))</f>
      </c>
      <c r="G47" s="100">
        <f t="shared" si="13"/>
      </c>
      <c r="H47" s="81"/>
      <c r="I47" s="82"/>
      <c r="J47" s="88"/>
      <c r="K47" s="159">
        <f>IF(K45="","",IF(K45+$L$11&gt;$J$11+$F$11,"",K45+$L$11))</f>
      </c>
      <c r="L47" s="72">
        <f>IF(A47&gt;$F$11,"",L28+$A$32*COS(B47))</f>
      </c>
      <c r="M47" s="152">
        <f>IF(A47&gt;$F$11,"",M28+$A$32*SIN(B47))</f>
      </c>
      <c r="N47" s="147"/>
    </row>
    <row r="48" spans="1:14" ht="17.25" customHeight="1">
      <c r="A48" s="166"/>
      <c r="B48" s="55">
        <f>IF(A47&gt;$F$11,"",G48*$A$13)</f>
      </c>
      <c r="C48" s="17">
        <f>IF(A47&gt;$F$11,"",TRUNC(B48*$A$15))</f>
      </c>
      <c r="D48" s="4">
        <f>IF(A47&gt;$F$11,"",TRUNC((B48*$A$15-C48)*60))</f>
      </c>
      <c r="E48" s="4">
        <f>IF(A47&gt;$F$11,"",TRUNC(((B48*$A$15-C48)*60-D48)*60))</f>
      </c>
      <c r="F48" s="151">
        <f>IF(A47="","",IF($B$19=0,K28*$A$15+90-B28*2,IF($B$19=1,K28*$A$15+90+B28*2)))</f>
      </c>
      <c r="G48" s="100">
        <f t="shared" si="13"/>
      </c>
      <c r="H48" s="3"/>
      <c r="I48" s="79"/>
      <c r="J48" s="86"/>
      <c r="K48" s="160"/>
      <c r="L48" s="94">
        <f>IF(A47&gt;$F$11,"",L28+$A$33*COS(B48))</f>
      </c>
      <c r="M48" s="153">
        <f>IF(A47&gt;$F$11,"",M28+$A$33*SIN(B48))</f>
      </c>
      <c r="N48" s="148"/>
    </row>
    <row r="49" spans="1:14" ht="17.25" customHeight="1">
      <c r="A49" s="156">
        <f>A29</f>
      </c>
      <c r="B49" s="50">
        <f>IF(A49&gt;$F$11,"",G49*$A$13)</f>
      </c>
      <c r="C49" s="17">
        <f>IF(A49&gt;$F$11,"",TRUNC(B49*$A$15))</f>
      </c>
      <c r="D49" s="4">
        <f>IF(A49&gt;$F$11,"",TRUNC((B49*$A$15-C49)*60))</f>
      </c>
      <c r="E49" s="4">
        <f>IF(A49&gt;$F$11,"",TRUNC(((B49*$A$15-C49)*60-D49)*60))</f>
      </c>
      <c r="F49" s="150">
        <f>IF(A49="","",IF($B$19=0,K29*$A$15-90-B29*2,IF($B$19=1,K29*$A$15-90+B29*2)))</f>
      </c>
      <c r="G49" s="100">
        <f t="shared" si="13"/>
      </c>
      <c r="H49" s="81"/>
      <c r="I49" s="82"/>
      <c r="J49" s="88"/>
      <c r="K49" s="159">
        <f>IF(K47="","",IF(K47+$L$11&gt;$J$11+$F$11,"",K47+$L$11))</f>
      </c>
      <c r="L49" s="72">
        <f>IF(A49&gt;$F$11,"",#REF!+$A$32*COS(B49))</f>
      </c>
      <c r="M49" s="152">
        <f>IF(A49&gt;$F$11,"",#REF!+$A$32*SIN(B49))</f>
      </c>
      <c r="N49" s="147"/>
    </row>
    <row r="50" spans="1:14" ht="17.25" customHeight="1">
      <c r="A50" s="157"/>
      <c r="B50" s="55">
        <f>IF(A49&gt;$F$11,"",G50*$A$13)</f>
      </c>
      <c r="C50" s="17">
        <f>IF(A49&gt;$F$11,"",TRUNC(B50*$A$15))</f>
      </c>
      <c r="D50" s="4">
        <f>IF(A49&gt;$F$11,"",TRUNC((B50*$A$15-C50)*60))</f>
      </c>
      <c r="E50" s="4">
        <f>IF(A49&gt;$F$11,"",TRUNC(((B50*$A$15-C50)*60-D50)*60))</f>
      </c>
      <c r="F50" s="151">
        <f>IF(A49="","",IF($B$19=0,K29*$A$15+90-B29*2,IF($B$19=1,K29*$A$15+90+B29*2)))</f>
      </c>
      <c r="G50" s="100">
        <f t="shared" si="13"/>
      </c>
      <c r="H50" s="3"/>
      <c r="I50" s="79"/>
      <c r="J50" s="86"/>
      <c r="K50" s="160"/>
      <c r="L50" s="94">
        <f>IF(A49&gt;$F$11,"",#REF!+$A$33*COS(B50))</f>
      </c>
      <c r="M50" s="153">
        <f>IF(A49&gt;$F$11,"",#REF!+$A$33*SIN(B50))</f>
      </c>
      <c r="N50" s="148"/>
    </row>
    <row r="53" spans="9:10" ht="17.25" customHeight="1">
      <c r="I53" s="36"/>
      <c r="J53" s="36"/>
    </row>
    <row r="54" spans="1:10" ht="17.25" customHeight="1">
      <c r="A54" s="97" t="s">
        <v>129</v>
      </c>
      <c r="I54" s="3"/>
      <c r="J54" s="3"/>
    </row>
    <row r="55" spans="1:14" ht="17.25" customHeight="1">
      <c r="A55" s="99" t="s">
        <v>30</v>
      </c>
      <c r="B55" s="99" t="s">
        <v>8</v>
      </c>
      <c r="C55" s="158" t="s">
        <v>42</v>
      </c>
      <c r="D55" s="158"/>
      <c r="E55" s="158"/>
      <c r="F55" s="99" t="s">
        <v>44</v>
      </c>
      <c r="G55" s="99" t="s">
        <v>2</v>
      </c>
      <c r="H55" s="99" t="s">
        <v>47</v>
      </c>
      <c r="I55" s="28" t="s">
        <v>90</v>
      </c>
      <c r="J55" s="28" t="s">
        <v>91</v>
      </c>
      <c r="K55" s="52" t="s">
        <v>63</v>
      </c>
      <c r="L55" s="29" t="s">
        <v>120</v>
      </c>
      <c r="M55" s="29" t="s">
        <v>121</v>
      </c>
      <c r="N55" s="145"/>
    </row>
    <row r="56" spans="1:14" ht="17.25" customHeight="1">
      <c r="A56" s="100">
        <f>F11</f>
        <v>80</v>
      </c>
      <c r="B56" s="8">
        <f>IF(A56&gt;$F$11,"",(H56*$A$15))</f>
        <v>2.387286669454815</v>
      </c>
      <c r="C56" s="20">
        <f>IF(A56&gt;$F$11,"",INT(B56))</f>
        <v>2</v>
      </c>
      <c r="D56" s="21">
        <f>IF(A56&gt;$F$11,"",TRUNC((H56*$A$15-C56)*60))</f>
        <v>23</v>
      </c>
      <c r="E56" s="22">
        <f>IF(A56&gt;$F$11,"",TRUNC(((H56*$A$15-C56)*60-D56)*60))</f>
        <v>14</v>
      </c>
      <c r="F56" s="23">
        <f>IF(A56&gt;$F$11,"",IF(ISERROR(ROUND(J56/SIN(H56),3)),A56,ROUND(J56/SIN(H56),3)))</f>
        <v>79.944</v>
      </c>
      <c r="G56" s="49">
        <f>IF(A56&gt;$F$11,"",$A$11^2/A56)</f>
        <v>320</v>
      </c>
      <c r="H56" s="8">
        <f>IF(A56&gt;$F$11,"",ATAN(J56/I56))</f>
        <v>0.04166601257095607</v>
      </c>
      <c r="I56" s="9">
        <f>IF(A56&gt;$F$11,"",ROUND(A56*(1-A56^2/40/G56^2+A56^4/3456/G56^4-A56^6/599040/G56^6),3))</f>
        <v>79.875</v>
      </c>
      <c r="J56" s="9">
        <f>IF(A56&gt;$F$11,"",ROUND(A56^2/6/G56*(1-A56^2/56/G56^2+A56^4/7040/G56^4-A56^6/1612800/G56^6),3))</f>
        <v>3.33</v>
      </c>
      <c r="K56" s="50">
        <f>IF(A56&gt;$F$11,"",IF($B$19=0,($H$20-H56),IF($B$19=1,($H$20+H56),"")))</f>
        <v>2.8251164926957024</v>
      </c>
      <c r="L56" s="30">
        <f>IF(A56&gt;$F$11,"",$G$17+F56*COS(K56))</f>
        <v>-37986.531821408105</v>
      </c>
      <c r="M56" s="30">
        <f>IF(A56&gt;$F$11,"",$G$18+F56*SIN(K56))</f>
        <v>16289.901144626774</v>
      </c>
      <c r="N56" s="37"/>
    </row>
    <row r="57" spans="1:14" ht="17.25" customHeight="1">
      <c r="A57" s="104"/>
      <c r="B57" s="31"/>
      <c r="C57" s="32"/>
      <c r="D57" s="32"/>
      <c r="E57" s="33"/>
      <c r="F57" s="34"/>
      <c r="G57" s="56"/>
      <c r="H57" s="31"/>
      <c r="I57" s="35"/>
      <c r="J57" s="35"/>
      <c r="K57" s="54"/>
      <c r="L57" s="37"/>
      <c r="M57" s="37"/>
      <c r="N57" s="37"/>
    </row>
    <row r="58" spans="1:14" ht="17.25" customHeight="1">
      <c r="A58" s="95" t="s">
        <v>4</v>
      </c>
      <c r="B58" s="1" t="s">
        <v>24</v>
      </c>
      <c r="G58" s="1" t="s">
        <v>7</v>
      </c>
      <c r="I58" s="1" t="s">
        <v>25</v>
      </c>
      <c r="M58" s="37"/>
      <c r="N58" s="37"/>
    </row>
    <row r="59" spans="2:14" ht="17.25" customHeight="1">
      <c r="B59" s="1" t="s">
        <v>27</v>
      </c>
      <c r="G59" s="1" t="s">
        <v>41</v>
      </c>
      <c r="M59" s="37"/>
      <c r="N59" s="37"/>
    </row>
    <row r="60" spans="3:14" ht="17.25" customHeight="1">
      <c r="C60" s="158" t="s">
        <v>5</v>
      </c>
      <c r="D60" s="158"/>
      <c r="E60" s="158"/>
      <c r="F60" s="99" t="s">
        <v>112</v>
      </c>
      <c r="G60" s="99" t="s">
        <v>109</v>
      </c>
      <c r="M60" s="37"/>
      <c r="N60" s="37"/>
    </row>
    <row r="61" spans="3:14" ht="17.25" customHeight="1">
      <c r="C61" s="129">
        <v>15</v>
      </c>
      <c r="D61" s="130">
        <v>26</v>
      </c>
      <c r="E61" s="131">
        <v>46</v>
      </c>
      <c r="F61" s="71">
        <f>ROUND(J11+F11,3)</f>
        <v>707.4</v>
      </c>
      <c r="G61" s="109">
        <v>720</v>
      </c>
      <c r="M61" s="37"/>
      <c r="N61" s="37"/>
    </row>
    <row r="62" spans="2:14" ht="17.25" customHeight="1">
      <c r="B62" s="64" t="s">
        <v>106</v>
      </c>
      <c r="C62" s="163" t="s">
        <v>42</v>
      </c>
      <c r="D62" s="164"/>
      <c r="E62" s="165"/>
      <c r="F62" s="101" t="s">
        <v>13</v>
      </c>
      <c r="G62" s="99" t="s">
        <v>6</v>
      </c>
      <c r="H62" s="99" t="s">
        <v>23</v>
      </c>
      <c r="I62" s="99" t="s">
        <v>22</v>
      </c>
      <c r="J62" s="99" t="s">
        <v>31</v>
      </c>
      <c r="M62" s="37"/>
      <c r="N62" s="37"/>
    </row>
    <row r="63" spans="2:14" ht="17.25" customHeight="1">
      <c r="B63" s="8">
        <f>IF(B19=0,$H$20-H56*3,IF(B19=1,$H$20+H56*3,""))</f>
        <v>2.7417844675537903</v>
      </c>
      <c r="C63" s="17">
        <f>TRUNC(B63*$A$15)</f>
        <v>157</v>
      </c>
      <c r="D63" s="4">
        <f>TRUNC((B63*$A$15-C63)*60)</f>
        <v>5</v>
      </c>
      <c r="E63" s="18">
        <f>TRUNC(((B63*$A$15-C63)*60-D63)*60)</f>
        <v>33</v>
      </c>
      <c r="F63" s="103">
        <f>ROUND(B11*TAN(B65/2),3)</f>
        <v>43.397</v>
      </c>
      <c r="G63" s="9">
        <f>ROUND($B$11*B65,3)</f>
        <v>86.267</v>
      </c>
      <c r="H63" s="11">
        <f>ROUND(B11*((1/(COS(B65/2)))-1),3)</f>
        <v>2.929</v>
      </c>
      <c r="I63" s="11">
        <f>ROUND(B11*(1-COS(B65/2)),3)</f>
        <v>2.903</v>
      </c>
      <c r="J63" s="25">
        <f>ROUND(2*B11*SIN(B65/2),3)</f>
        <v>86.006</v>
      </c>
      <c r="M63" s="37"/>
      <c r="N63" s="37"/>
    </row>
    <row r="64" spans="2:14" ht="17.25" customHeight="1">
      <c r="B64" s="24" t="s">
        <v>26</v>
      </c>
      <c r="C64" s="163" t="s">
        <v>42</v>
      </c>
      <c r="D64" s="164"/>
      <c r="E64" s="165"/>
      <c r="F64" s="99" t="s">
        <v>5</v>
      </c>
      <c r="K64" s="99"/>
      <c r="L64" s="29" t="s">
        <v>140</v>
      </c>
      <c r="M64" s="29" t="s">
        <v>130</v>
      </c>
      <c r="N64" s="145"/>
    </row>
    <row r="65" spans="1:14" ht="17.25" customHeight="1">
      <c r="A65" s="123"/>
      <c r="B65" s="8">
        <f>F65*$A$13</f>
        <v>0.2695854955177686</v>
      </c>
      <c r="C65" s="17">
        <f>TRUNC(B65*$A$15)</f>
        <v>15</v>
      </c>
      <c r="D65" s="4">
        <f>TRUNC((B65*$A$15-C65)*60)</f>
        <v>26</v>
      </c>
      <c r="E65" s="18">
        <f>TRUNC(((B65*$A$15-C65)*60-D65)*60)</f>
        <v>46</v>
      </c>
      <c r="F65" s="10">
        <f>C61+(D61/100/0.6)+(E61/10000/0.36)</f>
        <v>15.446111111111112</v>
      </c>
      <c r="K65" s="142" t="s">
        <v>149</v>
      </c>
      <c r="L65" s="30">
        <f>IF(L56="","",$L$56+$F$63*COS($B$63))</f>
        <v>-38026.50634620643</v>
      </c>
      <c r="M65" s="30">
        <f>IF(M56="","",$M$56+$F$63*SIN($B$63))</f>
        <v>16306.793065066679</v>
      </c>
      <c r="N65" s="37"/>
    </row>
    <row r="66" spans="1:14" ht="17.25" customHeight="1">
      <c r="A66" s="123"/>
      <c r="B66" s="31"/>
      <c r="C66" s="36"/>
      <c r="D66" s="36"/>
      <c r="E66" s="36"/>
      <c r="F66" s="91"/>
      <c r="L66" s="26"/>
      <c r="M66" s="37"/>
      <c r="N66" s="37"/>
    </row>
    <row r="67" spans="1:14" ht="17.25" customHeight="1">
      <c r="A67" s="123"/>
      <c r="B67" s="31"/>
      <c r="C67" s="36"/>
      <c r="D67" s="36"/>
      <c r="E67" s="36"/>
      <c r="F67" s="91"/>
      <c r="K67" s="124"/>
      <c r="M67" s="37"/>
      <c r="N67" s="37"/>
    </row>
    <row r="68" spans="1:14" ht="17.25" customHeight="1">
      <c r="A68" s="95" t="s">
        <v>4</v>
      </c>
      <c r="B68" s="1" t="s">
        <v>28</v>
      </c>
      <c r="C68" s="90"/>
      <c r="D68" s="62"/>
      <c r="E68" s="62"/>
      <c r="F68" s="31"/>
      <c r="G68" s="36"/>
      <c r="H68" s="91"/>
      <c r="I68" s="63"/>
      <c r="J68" s="36"/>
      <c r="K68" s="61"/>
      <c r="L68" s="92"/>
      <c r="M68" s="37"/>
      <c r="N68" s="37"/>
    </row>
    <row r="69" spans="1:14" ht="17.25" customHeight="1">
      <c r="A69" s="1" t="s">
        <v>119</v>
      </c>
      <c r="B69" s="1" t="s">
        <v>46</v>
      </c>
      <c r="F69" s="2" t="s">
        <v>33</v>
      </c>
      <c r="I69" s="2" t="s">
        <v>34</v>
      </c>
      <c r="M69" s="37"/>
      <c r="N69" s="37"/>
    </row>
    <row r="70" spans="1:14" ht="17.25" customHeight="1">
      <c r="A70" s="99" t="s">
        <v>30</v>
      </c>
      <c r="B70" s="99" t="s">
        <v>32</v>
      </c>
      <c r="C70" s="158" t="s">
        <v>42</v>
      </c>
      <c r="D70" s="158"/>
      <c r="E70" s="158"/>
      <c r="F70" s="99" t="s">
        <v>29</v>
      </c>
      <c r="G70" s="99"/>
      <c r="H70" s="99" t="s">
        <v>43</v>
      </c>
      <c r="I70" s="99"/>
      <c r="J70" s="99" t="s">
        <v>117</v>
      </c>
      <c r="K70" s="52" t="s">
        <v>63</v>
      </c>
      <c r="L70" s="59" t="s">
        <v>10</v>
      </c>
      <c r="M70" s="59" t="s">
        <v>130</v>
      </c>
      <c r="N70" s="145"/>
    </row>
    <row r="71" spans="1:17" ht="17.25" customHeight="1">
      <c r="A71" s="100">
        <f>G61-F61</f>
        <v>12.600000000000023</v>
      </c>
      <c r="B71" s="8">
        <f aca="true" t="shared" si="14" ref="B71:B78">IF(A71&gt;$G$63,"",H71*$A$15)</f>
        <v>1.1280106591638102</v>
      </c>
      <c r="C71" s="20">
        <f aca="true" t="shared" si="15" ref="C71:C78">IF(A71&gt;$G$63,"",INT(B71))</f>
        <v>1</v>
      </c>
      <c r="D71" s="21">
        <f aca="true" t="shared" si="16" ref="D71:D78">IF(A71&gt;$G$63,"",TRUNC((H71*$A$15-C71)*60))</f>
        <v>7</v>
      </c>
      <c r="E71" s="22">
        <f aca="true" t="shared" si="17" ref="E71:E78">IF(A71&gt;$G$63,"",TRUNC(((H71*$A$15-C71)*60-D71)*60))</f>
        <v>40</v>
      </c>
      <c r="F71" s="23">
        <f aca="true" t="shared" si="18" ref="F71:F78">IF(A71&gt;$G$63,"",2*$B$11*SIN(B71*PI()/180))</f>
        <v>12.599186060696104</v>
      </c>
      <c r="G71" s="9"/>
      <c r="H71" s="8">
        <f aca="true" t="shared" si="19" ref="H71:H78">IF(A71&gt;$G$63,"",(A71/(2*$B$11)))</f>
        <v>0.019687500000000035</v>
      </c>
      <c r="I71" s="9"/>
      <c r="J71" s="9">
        <f>G61</f>
        <v>720</v>
      </c>
      <c r="K71" s="50">
        <f>IF(A71&gt;$F$11,"",IF($B$19=0,($B$63+H71),IF($B$19=1,($B$63-H71),"")))</f>
        <v>2.76147196755379</v>
      </c>
      <c r="L71" s="30">
        <f aca="true" t="shared" si="20" ref="L71:L78">IF(A71&gt;$F$11,"",$L$56+F71*COS(K71))</f>
        <v>-37998.23167585294</v>
      </c>
      <c r="M71" s="30">
        <f aca="true" t="shared" si="21" ref="M71:M78">IF(A71&gt;$F$11,"",$M$56+F71*SIN(K71))</f>
        <v>16294.575852677724</v>
      </c>
      <c r="N71" s="37"/>
      <c r="Q71" s="26"/>
    </row>
    <row r="72" spans="1:14" ht="17.25" customHeight="1">
      <c r="A72" s="100">
        <f>IF(A71="","",IF($G$63&lt;A71+20,"",A71+20))</f>
        <v>32.60000000000002</v>
      </c>
      <c r="B72" s="8">
        <f t="shared" si="14"/>
        <v>2.918503768947633</v>
      </c>
      <c r="C72" s="20">
        <f t="shared" si="15"/>
        <v>2</v>
      </c>
      <c r="D72" s="21">
        <f t="shared" si="16"/>
        <v>55</v>
      </c>
      <c r="E72" s="22">
        <f t="shared" si="17"/>
        <v>6</v>
      </c>
      <c r="F72" s="23">
        <f t="shared" si="18"/>
        <v>32.585904345050025</v>
      </c>
      <c r="G72" s="9"/>
      <c r="H72" s="8">
        <f t="shared" si="19"/>
        <v>0.05093750000000004</v>
      </c>
      <c r="I72" s="9"/>
      <c r="J72" s="9">
        <f aca="true" t="shared" si="22" ref="J72:J78">IF(J71="","",IF($F$61+$G$63&lt;J71+$L$11,"",J71+$L$11))</f>
        <v>740</v>
      </c>
      <c r="K72" s="50">
        <f aca="true" t="shared" si="23" ref="K72:K78">IF(A72&gt;$F$11,"",IF($B$19=0,($B$63-H72),IF($B$19=1,($B$63+H72),"")))</f>
        <v>2.6908469675537905</v>
      </c>
      <c r="L72" s="30">
        <f t="shared" si="20"/>
        <v>-38015.86312723244</v>
      </c>
      <c r="M72" s="30">
        <f t="shared" si="21"/>
        <v>16304.096765804581</v>
      </c>
      <c r="N72" s="37"/>
    </row>
    <row r="73" spans="1:14" ht="17.25" customHeight="1">
      <c r="A73" s="100">
        <f aca="true" t="shared" si="24" ref="A73:A78">IF(A72="","",IF($G$63&lt;A72+20,"",A72+20))</f>
        <v>52.60000000000002</v>
      </c>
      <c r="B73" s="8">
        <f t="shared" si="14"/>
        <v>4.708996878731456</v>
      </c>
      <c r="C73" s="20">
        <f t="shared" si="15"/>
        <v>4</v>
      </c>
      <c r="D73" s="21">
        <f t="shared" si="16"/>
        <v>42</v>
      </c>
      <c r="E73" s="22">
        <f t="shared" si="17"/>
        <v>32</v>
      </c>
      <c r="F73" s="23">
        <f t="shared" si="18"/>
        <v>52.54080304680269</v>
      </c>
      <c r="G73" s="9"/>
      <c r="H73" s="8">
        <f t="shared" si="19"/>
        <v>0.08218750000000004</v>
      </c>
      <c r="I73" s="9"/>
      <c r="J73" s="9">
        <f t="shared" si="22"/>
        <v>760</v>
      </c>
      <c r="K73" s="50">
        <f t="shared" si="23"/>
        <v>2.6595969675537905</v>
      </c>
      <c r="L73" s="30">
        <f t="shared" si="20"/>
        <v>-38033.08673434539</v>
      </c>
      <c r="M73" s="30">
        <f t="shared" si="21"/>
        <v>16314.256350768486</v>
      </c>
      <c r="N73" s="37"/>
    </row>
    <row r="74" spans="1:14" ht="17.25" customHeight="1">
      <c r="A74" s="100">
        <f t="shared" si="24"/>
        <v>72.60000000000002</v>
      </c>
      <c r="B74" s="8">
        <f t="shared" si="14"/>
        <v>6.499489988515278</v>
      </c>
      <c r="C74" s="20">
        <f t="shared" si="15"/>
        <v>6</v>
      </c>
      <c r="D74" s="21">
        <f t="shared" si="16"/>
        <v>29</v>
      </c>
      <c r="E74" s="22">
        <f t="shared" si="17"/>
        <v>58</v>
      </c>
      <c r="F74" s="23">
        <f t="shared" si="18"/>
        <v>72.4443965460119</v>
      </c>
      <c r="G74" s="9"/>
      <c r="H74" s="8">
        <f t="shared" si="19"/>
        <v>0.11343750000000004</v>
      </c>
      <c r="I74" s="9"/>
      <c r="J74" s="9">
        <f t="shared" si="22"/>
        <v>780</v>
      </c>
      <c r="K74" s="50">
        <f t="shared" si="23"/>
        <v>2.6283469675537905</v>
      </c>
      <c r="L74" s="30">
        <f t="shared" si="20"/>
        <v>-38049.642151803324</v>
      </c>
      <c r="M74" s="30">
        <f t="shared" si="21"/>
        <v>16325.471874002516</v>
      </c>
      <c r="N74" s="37"/>
    </row>
    <row r="75" spans="1:14" ht="17.25" customHeight="1">
      <c r="A75" s="100">
        <f t="shared" si="24"/>
      </c>
      <c r="B75" s="8">
        <f t="shared" si="14"/>
      </c>
      <c r="C75" s="20">
        <f t="shared" si="15"/>
      </c>
      <c r="D75" s="21">
        <f t="shared" si="16"/>
      </c>
      <c r="E75" s="22">
        <f t="shared" si="17"/>
      </c>
      <c r="F75" s="23">
        <f t="shared" si="18"/>
      </c>
      <c r="G75" s="9"/>
      <c r="H75" s="8">
        <f t="shared" si="19"/>
      </c>
      <c r="I75" s="9"/>
      <c r="J75" s="9">
        <f t="shared" si="22"/>
      </c>
      <c r="K75" s="50">
        <f t="shared" si="23"/>
      </c>
      <c r="L75" s="30">
        <f t="shared" si="20"/>
      </c>
      <c r="M75" s="30">
        <f t="shared" si="21"/>
      </c>
      <c r="N75" s="37"/>
    </row>
    <row r="76" spans="1:14" ht="17.25" customHeight="1">
      <c r="A76" s="100">
        <f t="shared" si="24"/>
      </c>
      <c r="B76" s="8">
        <f t="shared" si="14"/>
      </c>
      <c r="C76" s="20">
        <f t="shared" si="15"/>
      </c>
      <c r="D76" s="21">
        <f t="shared" si="16"/>
      </c>
      <c r="E76" s="22">
        <f t="shared" si="17"/>
      </c>
      <c r="F76" s="23">
        <f t="shared" si="18"/>
      </c>
      <c r="G76" s="9"/>
      <c r="H76" s="8">
        <f t="shared" si="19"/>
      </c>
      <c r="I76" s="9"/>
      <c r="J76" s="9">
        <f t="shared" si="22"/>
      </c>
      <c r="K76" s="50">
        <f t="shared" si="23"/>
      </c>
      <c r="L76" s="30">
        <f t="shared" si="20"/>
      </c>
      <c r="M76" s="30">
        <f t="shared" si="21"/>
      </c>
      <c r="N76" s="37"/>
    </row>
    <row r="77" spans="1:14" ht="17.25" customHeight="1">
      <c r="A77" s="100">
        <f t="shared" si="24"/>
      </c>
      <c r="B77" s="8">
        <f t="shared" si="14"/>
      </c>
      <c r="C77" s="20">
        <f t="shared" si="15"/>
      </c>
      <c r="D77" s="21">
        <f t="shared" si="16"/>
      </c>
      <c r="E77" s="22">
        <f t="shared" si="17"/>
      </c>
      <c r="F77" s="23">
        <f t="shared" si="18"/>
      </c>
      <c r="G77" s="9"/>
      <c r="H77" s="8">
        <f t="shared" si="19"/>
      </c>
      <c r="I77" s="9"/>
      <c r="J77" s="9">
        <f t="shared" si="22"/>
      </c>
      <c r="K77" s="50">
        <f t="shared" si="23"/>
      </c>
      <c r="L77" s="30">
        <f t="shared" si="20"/>
      </c>
      <c r="M77" s="30">
        <f t="shared" si="21"/>
      </c>
      <c r="N77" s="37"/>
    </row>
    <row r="78" spans="1:14" ht="17.25" customHeight="1">
      <c r="A78" s="100">
        <f t="shared" si="24"/>
      </c>
      <c r="B78" s="8">
        <f t="shared" si="14"/>
      </c>
      <c r="C78" s="20">
        <f t="shared" si="15"/>
      </c>
      <c r="D78" s="21">
        <f t="shared" si="16"/>
      </c>
      <c r="E78" s="22">
        <f t="shared" si="17"/>
      </c>
      <c r="F78" s="23">
        <f t="shared" si="18"/>
      </c>
      <c r="G78" s="9"/>
      <c r="H78" s="8">
        <f t="shared" si="19"/>
      </c>
      <c r="I78" s="9"/>
      <c r="J78" s="9">
        <f t="shared" si="22"/>
      </c>
      <c r="K78" s="50">
        <f t="shared" si="23"/>
      </c>
      <c r="L78" s="30">
        <f t="shared" si="20"/>
      </c>
      <c r="M78" s="30">
        <f t="shared" si="21"/>
      </c>
      <c r="N78" s="37"/>
    </row>
    <row r="79" spans="1:14" ht="17.25" customHeight="1">
      <c r="A79" s="104"/>
      <c r="B79" s="31"/>
      <c r="C79" s="32"/>
      <c r="D79" s="32"/>
      <c r="E79" s="33"/>
      <c r="F79" s="34"/>
      <c r="G79" s="85"/>
      <c r="H79" s="88"/>
      <c r="I79" s="85"/>
      <c r="J79" s="85"/>
      <c r="K79" s="105"/>
      <c r="L79" s="37"/>
      <c r="M79" s="37"/>
      <c r="N79" s="37"/>
    </row>
    <row r="80" spans="1:11" ht="17.25" customHeight="1">
      <c r="A80" s="97" t="s">
        <v>114</v>
      </c>
      <c r="B80" s="53" t="s">
        <v>104</v>
      </c>
      <c r="G80" s="3"/>
      <c r="H80" s="3"/>
      <c r="I80" s="3"/>
      <c r="J80" s="3"/>
      <c r="K80" s="3"/>
    </row>
    <row r="81" spans="1:14" ht="17.25" customHeight="1">
      <c r="A81" s="99" t="s">
        <v>30</v>
      </c>
      <c r="B81" s="99" t="s">
        <v>8</v>
      </c>
      <c r="C81" s="158" t="s">
        <v>42</v>
      </c>
      <c r="D81" s="158"/>
      <c r="E81" s="158"/>
      <c r="F81" s="73" t="s">
        <v>108</v>
      </c>
      <c r="G81" s="133"/>
      <c r="H81" s="134"/>
      <c r="I81" s="135"/>
      <c r="J81" s="136"/>
      <c r="K81" s="65" t="s">
        <v>107</v>
      </c>
      <c r="L81" s="59" t="s">
        <v>10</v>
      </c>
      <c r="M81" s="59" t="s">
        <v>130</v>
      </c>
      <c r="N81" s="145"/>
    </row>
    <row r="82" spans="1:14" ht="17.25" customHeight="1">
      <c r="A82" s="137">
        <f>A32</f>
        <v>4.25</v>
      </c>
      <c r="B82" s="50">
        <f>IF(2*PI()&lt;(B63*$A$15-90)*$A$13,(B63*$A$15-90)*$A$13-2*PI(),(B63*$A$15-90)*$A$13)</f>
        <v>1.1709881407588938</v>
      </c>
      <c r="C82" s="17">
        <f>IF(A82&gt;$F$11,"",TRUNC(B82*$A$15))</f>
        <v>67</v>
      </c>
      <c r="D82" s="4">
        <f>IF(A82&gt;$F$11,"",TRUNC((B82*$A$15-C82)*60))</f>
        <v>5</v>
      </c>
      <c r="E82" s="4">
        <f>IF(A82&gt;$F$11,"",TRUNC(((B82*$A$15-C82)*60-D82)*60))</f>
        <v>33</v>
      </c>
      <c r="F82" s="74">
        <f>IF($B$19=0,$B$11-A82,IF($B$19=1,$B$11+A82,""))</f>
        <v>315.75</v>
      </c>
      <c r="G82" s="56"/>
      <c r="H82" s="31"/>
      <c r="I82" s="35"/>
      <c r="J82" s="26"/>
      <c r="K82" s="60" t="s">
        <v>133</v>
      </c>
      <c r="L82" s="30">
        <f>L56+A82*COS(B82)</f>
        <v>-37984.87754434127</v>
      </c>
      <c r="M82" s="30">
        <f>M56+A82*SIN(B82)</f>
        <v>16293.815971236745</v>
      </c>
      <c r="N82" s="37"/>
    </row>
    <row r="83" spans="1:14" ht="17.25" customHeight="1">
      <c r="A83" s="138">
        <f>A33</f>
        <v>4.25</v>
      </c>
      <c r="B83" s="50">
        <f>IF(2*PI()&lt;(B63*$A$15+90)*$A$13,(B63*$A$15+90)*$A$13-2*PI(),(B63*$A$15+90)*$A$13)</f>
        <v>4.312580794348687</v>
      </c>
      <c r="C83" s="17">
        <f>IF(A83&gt;$F$11,"",TRUNC(B83*$A$15))</f>
        <v>247</v>
      </c>
      <c r="D83" s="4">
        <f>IF(A83&gt;$F$11,"",TRUNC((B83*$A$15-C83)*60))</f>
        <v>5</v>
      </c>
      <c r="E83" s="4">
        <f>IF(A83&gt;$F$11,"",TRUNC(((B83*$A$15-C83)*60-D83)*60))</f>
        <v>33</v>
      </c>
      <c r="F83" s="74">
        <f>IF($B$19=0,$B$11+A83,IF($B$19=1,$B$11-A83,""))</f>
        <v>324.25</v>
      </c>
      <c r="G83" s="89"/>
      <c r="H83" s="86"/>
      <c r="I83" s="84"/>
      <c r="J83" s="98"/>
      <c r="K83" s="60" t="s">
        <v>134</v>
      </c>
      <c r="L83" s="93">
        <f>L56+A83*COS(B83)</f>
        <v>-37988.186098474944</v>
      </c>
      <c r="M83" s="93">
        <f>M56+A83*SIN(B83)</f>
        <v>16285.986318016803</v>
      </c>
      <c r="N83" s="146"/>
    </row>
    <row r="84" spans="1:14" ht="17.25" customHeight="1">
      <c r="A84" s="77" t="s">
        <v>115</v>
      </c>
      <c r="B84" s="78" t="s">
        <v>147</v>
      </c>
      <c r="C84" s="158" t="s">
        <v>42</v>
      </c>
      <c r="D84" s="158"/>
      <c r="E84" s="158"/>
      <c r="F84" s="149" t="s">
        <v>148</v>
      </c>
      <c r="G84" s="149" t="s">
        <v>148</v>
      </c>
      <c r="H84" s="57"/>
      <c r="I84" s="58"/>
      <c r="J84" s="58"/>
      <c r="K84" s="75" t="s">
        <v>116</v>
      </c>
      <c r="L84" s="59" t="s">
        <v>10</v>
      </c>
      <c r="M84" s="59" t="s">
        <v>130</v>
      </c>
      <c r="N84" s="145"/>
    </row>
    <row r="85" spans="1:14" ht="17.25" customHeight="1">
      <c r="A85" s="156">
        <f>A71</f>
        <v>12.600000000000023</v>
      </c>
      <c r="B85" s="50">
        <f>IF(A85&gt;$F$11,"",G85*$A$13)</f>
        <v>1.1709881407588938</v>
      </c>
      <c r="C85" s="17">
        <f>IF(A85&gt;$F$11,"",TRUNC(B85*$A$15))</f>
        <v>67</v>
      </c>
      <c r="D85" s="4">
        <f>IF(A85&gt;$F$11,"",TRUNC((B85*$A$15-C85)*60))</f>
        <v>5</v>
      </c>
      <c r="E85" s="4">
        <f>IF(A85&gt;$F$11,"",TRUNC(((B85*$A$15-C85)*60-D85)*60))</f>
        <v>33</v>
      </c>
      <c r="F85" s="100">
        <f>IF(A85&gt;$F$11,"",IF($B$19=0,K71*$A$15-(90+B71),IF($B$19=1,K71*$A$15-(90-B71))))</f>
        <v>67.09267832535579</v>
      </c>
      <c r="G85" s="100">
        <f>IF(F85="","",IF(F85&gt;360,F85-360,F85))</f>
        <v>67.09267832535579</v>
      </c>
      <c r="H85" s="81"/>
      <c r="I85" s="82"/>
      <c r="J85" s="83"/>
      <c r="K85" s="159">
        <f>G61</f>
        <v>720</v>
      </c>
      <c r="L85" s="72">
        <f>IF(A85&gt;$F$11,"",L71+$A$32*COS(B85))</f>
        <v>-37996.5773987861</v>
      </c>
      <c r="M85" s="152">
        <f>IF(A85&gt;$F$11,"",M71+$A$32*SIN(B85))</f>
        <v>16298.490679287695</v>
      </c>
      <c r="N85" s="147"/>
    </row>
    <row r="86" spans="1:14" ht="17.25" customHeight="1">
      <c r="A86" s="157"/>
      <c r="B86" s="55">
        <f>IF(A85&gt;$F$11,"",G86*$A$13)</f>
        <v>4.312580794348687</v>
      </c>
      <c r="C86" s="17">
        <f>IF(A85&gt;$F$11,"",TRUNC(B86*$A$15))</f>
        <v>247</v>
      </c>
      <c r="D86" s="4">
        <f>IF(A85&gt;$F$11,"",TRUNC((B86*$A$15-C86)*60))</f>
        <v>5</v>
      </c>
      <c r="E86" s="4">
        <f>IF(A85&gt;$F$11,"",TRUNC(((B86*$A$15-C86)*60-D86)*60))</f>
        <v>33</v>
      </c>
      <c r="F86" s="100">
        <f>IF(A85&gt;$F$11,"",IF($B$19=0,K71*$A$15+(90-B71),IF($B$19=1,K71*$A$15+(90+B71))))</f>
        <v>247.0926783253558</v>
      </c>
      <c r="G86" s="100">
        <f>IF(F86="","",IF(F86&gt;360,F86-360,F86))</f>
        <v>247.0926783253558</v>
      </c>
      <c r="H86" s="3"/>
      <c r="I86" s="79"/>
      <c r="J86" s="80"/>
      <c r="K86" s="160"/>
      <c r="L86" s="94">
        <f>IF(A85&gt;$F$11,"",L71+$A$33*COS(B86))</f>
        <v>-37999.88595291978</v>
      </c>
      <c r="M86" s="153">
        <f>IF(A85&gt;$F$11,"",M71+$A$33*SIN(B86))</f>
        <v>16290.661026067753</v>
      </c>
      <c r="N86" s="148"/>
    </row>
    <row r="87" spans="1:14" ht="17.25" customHeight="1">
      <c r="A87" s="156">
        <f>A72</f>
        <v>32.60000000000002</v>
      </c>
      <c r="B87" s="50">
        <f>IF(A87&gt;$F$11,"",G87*$A$13)</f>
        <v>1.0691131407588939</v>
      </c>
      <c r="C87" s="17">
        <f>IF(A87&gt;$F$11,"",TRUNC(B87*$A$15))</f>
        <v>61</v>
      </c>
      <c r="D87" s="4">
        <f>IF(A87&gt;$F$11,"",TRUNC((B87*$A$15-C87)*60))</f>
        <v>15</v>
      </c>
      <c r="E87" s="4">
        <f>IF(A87&gt;$F$11,"",TRUNC(((B87*$A$15-C87)*60-D87)*60))</f>
        <v>20</v>
      </c>
      <c r="F87" s="100">
        <f>IF(A87&gt;$F$11,"",IF($B$19=0,K72*$A$15-(90+B72),IF($B$19=1,K72*$A$15-(90-B72))))</f>
        <v>61.25567078746053</v>
      </c>
      <c r="G87" s="100">
        <f aca="true" t="shared" si="25" ref="G87:G100">IF(F87="","",IF(F87&gt;360,F87-360,F87))</f>
        <v>61.25567078746053</v>
      </c>
      <c r="H87" s="81"/>
      <c r="I87" s="82"/>
      <c r="J87" s="83"/>
      <c r="K87" s="159">
        <f>IF(K85="","",IF(K85+$L$11&gt;$F$61+$G$63,"",K85+$L$11))</f>
        <v>740</v>
      </c>
      <c r="L87" s="72">
        <f>IF(A87&gt;$F$11,"",L72+$A$32*COS(B87))</f>
        <v>-38013.81929376013</v>
      </c>
      <c r="M87" s="152">
        <f>IF(A87&gt;$F$11,"",M72+$A$32*SIN(B87))</f>
        <v>16307.823056820784</v>
      </c>
      <c r="N87" s="147"/>
    </row>
    <row r="88" spans="1:14" ht="17.25" customHeight="1">
      <c r="A88" s="157"/>
      <c r="B88" s="55">
        <f>IF(A87&gt;$F$11,"",G88*$A$13)</f>
        <v>4.210705794348687</v>
      </c>
      <c r="C88" s="17">
        <f>IF(A87&gt;$F$11,"",TRUNC(B88*$A$15))</f>
        <v>241</v>
      </c>
      <c r="D88" s="4">
        <f>IF(A87&gt;$F$11,"",TRUNC((B88*$A$15-C88)*60))</f>
        <v>15</v>
      </c>
      <c r="E88" s="4">
        <f>IF(A87&gt;$F$11,"",TRUNC(((B88*$A$15-C88)*60-D88)*60))</f>
        <v>20</v>
      </c>
      <c r="F88" s="100">
        <f>IF(A87&gt;$F$11,"",IF($B$19=0,K72*$A$15+(90-B72),IF($B$19=1,K72*$A$15+(90+B72))))</f>
        <v>241.25567078746053</v>
      </c>
      <c r="G88" s="100">
        <f t="shared" si="25"/>
        <v>241.25567078746053</v>
      </c>
      <c r="H88" s="3"/>
      <c r="I88" s="79"/>
      <c r="J88" s="80"/>
      <c r="K88" s="160"/>
      <c r="L88" s="94">
        <f>IF(A87&gt;$F$11,"",L72+$A$33*COS(B88))</f>
        <v>-38017.90696070476</v>
      </c>
      <c r="M88" s="153">
        <f>IF(A87&gt;$F$11,"",M72+$A$33*SIN(B88))</f>
        <v>16300.370474788378</v>
      </c>
      <c r="N88" s="148"/>
    </row>
    <row r="89" spans="1:14" ht="17.25" customHeight="1">
      <c r="A89" s="156">
        <f>A73</f>
        <v>52.60000000000002</v>
      </c>
      <c r="B89" s="50">
        <f>IF(A89&gt;$F$11,"",G89*$A$13)</f>
        <v>1.0066131407588939</v>
      </c>
      <c r="C89" s="17">
        <f>IF(A89&gt;$F$11,"",TRUNC(B89*$A$15))</f>
        <v>57</v>
      </c>
      <c r="D89" s="4">
        <f>IF(A89&gt;$F$11,"",TRUNC((B89*$A$15-C89)*60))</f>
        <v>40</v>
      </c>
      <c r="E89" s="4">
        <f>IF(A89&gt;$F$11,"",TRUNC(((B89*$A$15-C89)*60-D89)*60))</f>
        <v>28</v>
      </c>
      <c r="F89" s="100">
        <f>IF(A89&gt;$F$11,"",IF($B$19=0,K73*$A$15-(90+B73),IF($B$19=1,K73*$A$15-(90-B73))))</f>
        <v>57.67468456789288</v>
      </c>
      <c r="G89" s="100">
        <f t="shared" si="25"/>
        <v>57.67468456789288</v>
      </c>
      <c r="H89" s="81"/>
      <c r="I89" s="82"/>
      <c r="J89" s="83"/>
      <c r="K89" s="159">
        <f>IF(K87="","",IF(K87+$L$11&gt;$F$61+$G$63,"",K87+$L$11))</f>
        <v>760</v>
      </c>
      <c r="L89" s="72">
        <f>IF(A89&gt;$F$11,"",L73+$A$32*COS(B89))</f>
        <v>-38030.8141498411</v>
      </c>
      <c r="M89" s="152">
        <f>IF(A89&gt;$F$11,"",M73+$A$32*SIN(B89))</f>
        <v>16317.847709796886</v>
      </c>
      <c r="N89" s="147"/>
    </row>
    <row r="90" spans="1:14" ht="17.25" customHeight="1">
      <c r="A90" s="157"/>
      <c r="B90" s="55">
        <f>IF(A89&gt;$F$11,"",G90*$A$13)</f>
        <v>4.148205794348687</v>
      </c>
      <c r="C90" s="17">
        <f>IF(A89&gt;$F$11,"",TRUNC(B90*$A$15))</f>
        <v>237</v>
      </c>
      <c r="D90" s="4">
        <f>IF(A89&gt;$F$11,"",TRUNC((B90*$A$15-C90)*60))</f>
        <v>40</v>
      </c>
      <c r="E90" s="4">
        <f>IF(A89&gt;$F$11,"",TRUNC(((B90*$A$15-C90)*60-D90)*60))</f>
        <v>28</v>
      </c>
      <c r="F90" s="100">
        <f>IF(A89&gt;$F$11,"",IF($B$19=0,K73*$A$15+(90-B73),IF($B$19=1,K73*$A$15+(90+B73))))</f>
        <v>237.67468456789288</v>
      </c>
      <c r="G90" s="100">
        <f t="shared" si="25"/>
        <v>237.67468456789288</v>
      </c>
      <c r="H90" s="3"/>
      <c r="I90" s="79"/>
      <c r="J90" s="80"/>
      <c r="K90" s="160"/>
      <c r="L90" s="94">
        <f>IF(A89&gt;$F$11,"",L73+$A$33*COS(B90))</f>
        <v>-38035.359318849674</v>
      </c>
      <c r="M90" s="153">
        <f>IF(A89&gt;$F$11,"",M73+$A$33*SIN(B90))</f>
        <v>16310.664991740086</v>
      </c>
      <c r="N90" s="148"/>
    </row>
    <row r="91" spans="1:14" ht="17.25" customHeight="1">
      <c r="A91" s="156">
        <f>A74</f>
        <v>72.60000000000002</v>
      </c>
      <c r="B91" s="50">
        <f>IF(A91&gt;$F$11,"",G91*$A$13)</f>
        <v>0.9441131407588937</v>
      </c>
      <c r="C91" s="17">
        <f>IF(A91&gt;$F$11,"",TRUNC(B91*$A$15))</f>
        <v>54</v>
      </c>
      <c r="D91" s="4">
        <f>IF(A91&gt;$F$11,"",TRUNC((B91*$A$15-C91)*60))</f>
        <v>5</v>
      </c>
      <c r="E91" s="4">
        <f>IF(A91&gt;$F$11,"",TRUNC(((B91*$A$15-C91)*60-D91)*60))</f>
        <v>37</v>
      </c>
      <c r="F91" s="100">
        <f>IF(A91&gt;$F$11,"",IF($B$19=0,K74*$A$15-(90+B74),IF($B$19=1,K74*$A$15-(90-B74))))</f>
        <v>54.09369834832523</v>
      </c>
      <c r="G91" s="100">
        <f t="shared" si="25"/>
        <v>54.09369834832523</v>
      </c>
      <c r="H91" s="81"/>
      <c r="I91" s="82"/>
      <c r="J91" s="83"/>
      <c r="K91" s="159">
        <f>IF(K89="","",IF(K89+$L$11&gt;$F$61+$G$63,"",K89+$L$11))</f>
        <v>780</v>
      </c>
      <c r="L91" s="72">
        <f>IF(A91&gt;$F$11,"",L74+$A$32*COS(B91))</f>
        <v>-38047.149690660925</v>
      </c>
      <c r="M91" s="152">
        <f>IF(A91&gt;$F$11,"",M74+$A$32*SIN(B91))</f>
        <v>16328.914276862964</v>
      </c>
      <c r="N91" s="147"/>
    </row>
    <row r="92" spans="1:14" ht="17.25" customHeight="1">
      <c r="A92" s="157"/>
      <c r="B92" s="55">
        <f>IF(A91&gt;$F$11,"",G92*$A$13)</f>
        <v>4.085705794348687</v>
      </c>
      <c r="C92" s="17">
        <f>IF(A91&gt;$F$11,"",TRUNC(B92*$A$15))</f>
        <v>234</v>
      </c>
      <c r="D92" s="4">
        <f>IF(A91&gt;$F$11,"",TRUNC((B92*$A$15-C92)*60))</f>
        <v>5</v>
      </c>
      <c r="E92" s="4">
        <f>IF(A91&gt;$F$11,"",TRUNC(((B92*$A$15-C92)*60-D92)*60))</f>
        <v>37</v>
      </c>
      <c r="F92" s="100">
        <f>IF(A91&gt;$F$11,"",IF($B$19=0,K74*$A$15+(90-B74),IF($B$19=1,K74*$A$15+(90+B74))))</f>
        <v>234.09369834832523</v>
      </c>
      <c r="G92" s="100">
        <f t="shared" si="25"/>
        <v>234.09369834832523</v>
      </c>
      <c r="H92" s="3"/>
      <c r="I92" s="79"/>
      <c r="J92" s="80"/>
      <c r="K92" s="160"/>
      <c r="L92" s="94">
        <f>IF(A91&gt;$F$11,"",L74+$A$33*COS(B92))</f>
        <v>-38052.13461294572</v>
      </c>
      <c r="M92" s="153">
        <f>IF(A91&gt;$F$11,"",M74+$A$33*SIN(B92))</f>
        <v>16322.029471142068</v>
      </c>
      <c r="N92" s="148"/>
    </row>
    <row r="93" spans="1:14" ht="17.25" customHeight="1">
      <c r="A93" s="156">
        <f>A75</f>
      </c>
      <c r="B93" s="50">
        <f>IF(A93&gt;$F$11,"",G93*$A$13)</f>
      </c>
      <c r="C93" s="17">
        <f>IF(A93&gt;$F$11,"",TRUNC(B93*$A$15))</f>
      </c>
      <c r="D93" s="4">
        <f>IF(A93&gt;$F$11,"",TRUNC((B93*$A$15-C93)*60))</f>
      </c>
      <c r="E93" s="4">
        <f>IF(A93&gt;$F$11,"",TRUNC(((B93*$A$15-C93)*60-D93)*60))</f>
      </c>
      <c r="F93" s="100">
        <f>IF(A93&gt;$F$11,"",IF($B$19=0,K75*$A$15-(90+B75),IF($B$19=1,K75*$A$15-(90-B75))))</f>
      </c>
      <c r="G93" s="100">
        <f t="shared" si="25"/>
      </c>
      <c r="H93" s="81"/>
      <c r="I93" s="82"/>
      <c r="J93" s="83"/>
      <c r="K93" s="159">
        <f>IF(K91="","",IF(K91+$L$11&gt;$F$61+$G$63,"",K91+$L$11))</f>
      </c>
      <c r="L93" s="72">
        <f>IF(A93&gt;$F$11,"",L75+$A$32*COS(B93))</f>
      </c>
      <c r="M93" s="152">
        <f>IF(A93&gt;$F$11,"",M75+$A$32*SIN(B93))</f>
      </c>
      <c r="N93" s="147"/>
    </row>
    <row r="94" spans="1:14" ht="17.25" customHeight="1">
      <c r="A94" s="157"/>
      <c r="B94" s="55">
        <f>IF(A93&gt;$F$11,"",G94*$A$13)</f>
      </c>
      <c r="C94" s="17">
        <f>IF(A93&gt;$F$11,"",TRUNC(B94*$A$15))</f>
      </c>
      <c r="D94" s="4">
        <f>IF(A93&gt;$F$11,"",TRUNC((B94*$A$15-C94)*60))</f>
      </c>
      <c r="E94" s="4">
        <f>IF(A93&gt;$F$11,"",TRUNC(((B94*$A$15-C94)*60-D94)*60))</f>
      </c>
      <c r="F94" s="100">
        <f>IF(A93&gt;$F$11,"",IF($B$19=0,K75*$A$15+(90-B75),IF($B$19=1,K75*$A$15+(90+B75))))</f>
      </c>
      <c r="G94" s="100">
        <f t="shared" si="25"/>
      </c>
      <c r="H94" s="3"/>
      <c r="I94" s="79"/>
      <c r="J94" s="80"/>
      <c r="K94" s="160"/>
      <c r="L94" s="94">
        <f>IF(A93&gt;$F$11,"",L75+$A$33*COS(B94))</f>
      </c>
      <c r="M94" s="153">
        <f>IF(A93&gt;$F$11,"",M75+$A$33*SIN(B94))</f>
      </c>
      <c r="N94" s="148"/>
    </row>
    <row r="95" spans="1:14" ht="17.25" customHeight="1">
      <c r="A95" s="156">
        <f>A76</f>
      </c>
      <c r="B95" s="50">
        <f>IF(A95&gt;$F$11,"",G95*$A$13)</f>
      </c>
      <c r="C95" s="17">
        <f>IF(A95&gt;$F$11,"",TRUNC(B95*$A$15))</f>
      </c>
      <c r="D95" s="4">
        <f>IF(A95&gt;$F$11,"",TRUNC((B95*$A$15-C95)*60))</f>
      </c>
      <c r="E95" s="4">
        <f>IF(A95&gt;$F$11,"",TRUNC(((B95*$A$15-C95)*60-D95)*60))</f>
      </c>
      <c r="F95" s="100">
        <f>IF(A95&gt;$F$11,"",IF($B$19=0,K76*$A$15-(90+B76),IF($B$19=1,K76*$A$15-(90-B76))))</f>
      </c>
      <c r="G95" s="100">
        <f t="shared" si="25"/>
      </c>
      <c r="H95" s="81"/>
      <c r="I95" s="82"/>
      <c r="J95" s="83"/>
      <c r="K95" s="159">
        <f>IF(K93="","",IF(K93+$L$11&gt;$F$61+$G$63,"",K93+$L$11))</f>
      </c>
      <c r="L95" s="72">
        <f>IF(A95&gt;$F$11,"",L76+$A$32*COS(B95))</f>
      </c>
      <c r="M95" s="152">
        <f>IF(A95&gt;$F$11,"",M76+$A$32*SIN(B95))</f>
      </c>
      <c r="N95" s="147"/>
    </row>
    <row r="96" spans="1:14" ht="17.25" customHeight="1">
      <c r="A96" s="157"/>
      <c r="B96" s="55">
        <f>IF(A95&gt;$F$11,"",G96*$A$13)</f>
      </c>
      <c r="C96" s="17">
        <f>IF(A95&gt;$F$11,"",TRUNC(B96*$A$15))</f>
      </c>
      <c r="D96" s="4">
        <f>IF(A95&gt;$F$11,"",TRUNC((B96*$A$15-C96)*60))</f>
      </c>
      <c r="E96" s="4">
        <f>IF(A95&gt;$F$11,"",TRUNC(((B96*$A$15-C96)*60-D96)*60))</f>
      </c>
      <c r="F96" s="100">
        <f>IF(A95&gt;$F$11,"",IF($B$19=0,K76*$A$15+(90-B76),IF($B$19=1,K76*$A$15+(90+B76))))</f>
      </c>
      <c r="G96" s="100">
        <f t="shared" si="25"/>
      </c>
      <c r="H96" s="3"/>
      <c r="I96" s="79"/>
      <c r="J96" s="80"/>
      <c r="K96" s="160"/>
      <c r="L96" s="94">
        <f>IF(A95&gt;$F$11,"",L76+$A$33*COS(B96))</f>
      </c>
      <c r="M96" s="153">
        <f>IF(A95&gt;$F$11,"",M76+$A$33*SIN(B96))</f>
      </c>
      <c r="N96" s="148"/>
    </row>
    <row r="97" spans="1:14" ht="17.25" customHeight="1">
      <c r="A97" s="156">
        <f>A77</f>
      </c>
      <c r="B97" s="50">
        <f>IF(A97&gt;$F$11,"",G97*$A$13)</f>
      </c>
      <c r="C97" s="17">
        <f>IF(A97&gt;$F$11,"",TRUNC(B97*$A$15))</f>
      </c>
      <c r="D97" s="4">
        <f>IF(A97&gt;$F$11,"",TRUNC((B97*$A$15-C97)*60))</f>
      </c>
      <c r="E97" s="4">
        <f>IF(A97&gt;$F$11,"",TRUNC(((B97*$A$15-C97)*60-D97)*60))</f>
      </c>
      <c r="F97" s="100">
        <f>IF(A97&gt;$F$11,"",IF($B$19=0,K77*$A$15-(90+B77),IF($B$19=1,K77*$A$15-(90-B77))))</f>
      </c>
      <c r="G97" s="100">
        <f t="shared" si="25"/>
      </c>
      <c r="H97" s="81"/>
      <c r="I97" s="82"/>
      <c r="J97" s="83"/>
      <c r="K97" s="159">
        <f>IF(K95="","",IF(K95+$L$11&gt;$F$61+$G$63,"",K95+$L$11))</f>
      </c>
      <c r="L97" s="72">
        <f>IF(A97&gt;$F$11,"",L77+$A$32*COS(B97))</f>
      </c>
      <c r="M97" s="152">
        <f>IF(A97&gt;$F$11,"",M77+$A$32*SIN(B97))</f>
      </c>
      <c r="N97" s="147"/>
    </row>
    <row r="98" spans="1:14" ht="17.25" customHeight="1">
      <c r="A98" s="157"/>
      <c r="B98" s="55">
        <f>IF(A97&gt;$F$11,"",G98*$A$13)</f>
      </c>
      <c r="C98" s="17">
        <f>IF(A97&gt;$F$11,"",TRUNC(B98*$A$15))</f>
      </c>
      <c r="D98" s="4">
        <f>IF(A97&gt;$F$11,"",TRUNC((B98*$A$15-C98)*60))</f>
      </c>
      <c r="E98" s="4">
        <f>IF(A97&gt;$F$11,"",TRUNC(((B98*$A$15-C98)*60-D98)*60))</f>
      </c>
      <c r="F98" s="100">
        <f>IF(A97&gt;$F$11,"",IF($B$19=0,K77*$A$15+(90-B77),IF($B$19=1,K77*$A$15+(90+B77))))</f>
      </c>
      <c r="G98" s="100">
        <f t="shared" si="25"/>
      </c>
      <c r="H98" s="3"/>
      <c r="I98" s="79"/>
      <c r="J98" s="80"/>
      <c r="K98" s="160"/>
      <c r="L98" s="94">
        <f>IF(A97&gt;$F$11,"",L77+$A$33*COS(B98))</f>
      </c>
      <c r="M98" s="153">
        <f>IF(A97&gt;$F$11,"",M77+$A$33*SIN(B98))</f>
      </c>
      <c r="N98" s="148"/>
    </row>
    <row r="99" spans="1:14" ht="17.25" customHeight="1">
      <c r="A99" s="156">
        <f>A78</f>
      </c>
      <c r="B99" s="50">
        <f>IF(A99&gt;$F$11,"",G99*$A$13)</f>
      </c>
      <c r="C99" s="17">
        <f>IF(A99&gt;$F$11,"",TRUNC(B99*$A$15))</f>
      </c>
      <c r="D99" s="4">
        <f>IF(A99&gt;$F$11,"",TRUNC((B99*$A$15-C99)*60))</f>
      </c>
      <c r="E99" s="4">
        <f>IF(A99&gt;$F$11,"",TRUNC(((B99*$A$15-C99)*60-D99)*60))</f>
      </c>
      <c r="F99" s="100">
        <f>IF(A99&gt;$F$11,"",IF($B$19=0,K78*$A$15-(90+B78),IF($B$19=1,K78*$A$15-(90-B78))))</f>
      </c>
      <c r="G99" s="100">
        <f t="shared" si="25"/>
      </c>
      <c r="H99" s="81"/>
      <c r="I99" s="82"/>
      <c r="J99" s="83"/>
      <c r="K99" s="159">
        <f>IF(K97="","",IF(K97+$L$11&gt;$F$61+$G$63,"",K97+$L$11))</f>
      </c>
      <c r="L99" s="72">
        <f>IF(A99&gt;$F$11,"",L78+$A$32*COS(B99))</f>
      </c>
      <c r="M99" s="152">
        <f>IF(A99&gt;$F$11,"",M78+$A$32*SIN(B99))</f>
      </c>
      <c r="N99" s="147"/>
    </row>
    <row r="100" spans="1:14" ht="17.25" customHeight="1">
      <c r="A100" s="157"/>
      <c r="B100" s="55">
        <f>IF(A99&gt;$F$11,"",G100*$A$13)</f>
      </c>
      <c r="C100" s="17">
        <f>IF(A99&gt;$F$11,"",TRUNC(B100*$A$15))</f>
      </c>
      <c r="D100" s="4">
        <f>IF(A99&gt;$F$11,"",TRUNC((B100*$A$15-C100)*60))</f>
      </c>
      <c r="E100" s="4">
        <f>IF(A99&gt;$F$11,"",TRUNC(((B100*$A$15-C100)*60-D100)*60))</f>
      </c>
      <c r="F100" s="100">
        <f>IF(A99&gt;$F$11,"",IF($B$19=0,K78*$A$15+(90-B78),IF($B$19=1,K78*$A$15+(90+B78))))</f>
      </c>
      <c r="G100" s="100">
        <f t="shared" si="25"/>
      </c>
      <c r="H100" s="3"/>
      <c r="I100" s="79"/>
      <c r="J100" s="80"/>
      <c r="K100" s="160"/>
      <c r="L100" s="94">
        <f>IF(A99&gt;$F$11,"",L78+$A$33*COS(B100))</f>
      </c>
      <c r="M100" s="153">
        <f>IF(A99&gt;$F$11,"",M78+$A$33*SIN(B100))</f>
      </c>
      <c r="N100" s="148"/>
    </row>
    <row r="104" ht="17.25" customHeight="1">
      <c r="A104" s="96" t="s">
        <v>118</v>
      </c>
    </row>
    <row r="105" spans="1:12" ht="17.25" customHeight="1">
      <c r="A105" s="99" t="s">
        <v>1</v>
      </c>
      <c r="B105" s="99" t="s">
        <v>2</v>
      </c>
      <c r="C105" s="167" t="s">
        <v>42</v>
      </c>
      <c r="D105" s="168"/>
      <c r="E105" s="169"/>
      <c r="F105" s="99" t="s">
        <v>3</v>
      </c>
      <c r="G105" s="99" t="s">
        <v>35</v>
      </c>
      <c r="H105" s="99" t="s">
        <v>49</v>
      </c>
      <c r="I105" s="99" t="s">
        <v>47</v>
      </c>
      <c r="J105" s="99" t="s">
        <v>125</v>
      </c>
      <c r="K105" s="99" t="s">
        <v>109</v>
      </c>
      <c r="L105" s="99" t="s">
        <v>110</v>
      </c>
    </row>
    <row r="106" spans="1:12" ht="17.25" customHeight="1">
      <c r="A106" s="115">
        <f>A11</f>
        <v>160</v>
      </c>
      <c r="B106" s="115">
        <f>B11</f>
        <v>320</v>
      </c>
      <c r="C106" s="116">
        <f>C11</f>
        <v>29</v>
      </c>
      <c r="D106" s="116">
        <f>D11</f>
        <v>46</v>
      </c>
      <c r="E106" s="116">
        <f>E11</f>
        <v>12</v>
      </c>
      <c r="F106" s="70">
        <f>A106^2/B106</f>
        <v>80</v>
      </c>
      <c r="G106" s="8">
        <f>A106^2/2/B106^2</f>
        <v>0.125</v>
      </c>
      <c r="H106" s="9">
        <f>I110-H108</f>
        <v>40.313</v>
      </c>
      <c r="I106" s="10">
        <f>ATAN(G108/F108)</f>
        <v>0.04166601257095607</v>
      </c>
      <c r="J106" s="108">
        <v>873.67</v>
      </c>
      <c r="K106" s="109">
        <v>860</v>
      </c>
      <c r="L106" s="110">
        <v>20</v>
      </c>
    </row>
    <row r="107" spans="1:12" ht="17.25" customHeight="1">
      <c r="A107" s="125"/>
      <c r="B107" s="99" t="s">
        <v>8</v>
      </c>
      <c r="C107" s="167" t="s">
        <v>42</v>
      </c>
      <c r="D107" s="168"/>
      <c r="E107" s="169"/>
      <c r="F107" s="99" t="s">
        <v>90</v>
      </c>
      <c r="G107" s="99" t="s">
        <v>91</v>
      </c>
      <c r="H107" s="99" t="s">
        <v>15</v>
      </c>
      <c r="I107" s="99" t="s">
        <v>19</v>
      </c>
      <c r="J107" s="99" t="s">
        <v>12</v>
      </c>
      <c r="K107" s="28" t="s">
        <v>16</v>
      </c>
      <c r="L107" s="99" t="s">
        <v>5</v>
      </c>
    </row>
    <row r="108" spans="1:12" ht="17.25" customHeight="1">
      <c r="A108" s="126"/>
      <c r="B108" s="8">
        <f>I106*$A$15</f>
        <v>2.387286669454815</v>
      </c>
      <c r="C108" s="13">
        <f>TRUNC(I106*180/PI())</f>
        <v>2</v>
      </c>
      <c r="D108" s="14">
        <f>TRUNC((I106*180/PI()-C108)*60)</f>
        <v>23</v>
      </c>
      <c r="E108" s="15">
        <f>TRUNC(((I106*180/PI()-C108)*60-D108)*60)</f>
        <v>14</v>
      </c>
      <c r="F108" s="9">
        <f>ROUND(F106*(1-F106^2/40/$B$106^2+F106^4/3456/$B$106^4-F106^6/599040/$B$106^6),3)</f>
        <v>79.875</v>
      </c>
      <c r="G108" s="9">
        <f>ROUND(F106^2/6/$B$106*(1-F106^2/56/$B$106^2+F106^4/7040/$B$106^4-F106^6/1612800/$B$106^6),3)</f>
        <v>3.33</v>
      </c>
      <c r="H108" s="11">
        <f>ROUND(F108-B106*SIN(B110*$A$13),3)</f>
        <v>39.979</v>
      </c>
      <c r="I108" s="9">
        <f>B106+J108</f>
        <v>320.833</v>
      </c>
      <c r="J108" s="11">
        <f>ROUND(G108+B106*COS(G106)-B106,3)</f>
        <v>0.833</v>
      </c>
      <c r="K108" s="11">
        <f>ROUND(G108*1/SIN(G106),3)</f>
        <v>26.71</v>
      </c>
      <c r="L108" s="11">
        <f>C106+D106/100+E106/10000</f>
        <v>29.4612</v>
      </c>
    </row>
    <row r="109" spans="1:12" ht="17.25" customHeight="1">
      <c r="A109" s="127"/>
      <c r="B109" s="99" t="s">
        <v>9</v>
      </c>
      <c r="C109" s="167" t="s">
        <v>42</v>
      </c>
      <c r="D109" s="168"/>
      <c r="E109" s="169"/>
      <c r="F109" s="99" t="s">
        <v>13</v>
      </c>
      <c r="G109" s="99" t="s">
        <v>14</v>
      </c>
      <c r="H109" s="99" t="s">
        <v>17</v>
      </c>
      <c r="I109" s="99" t="s">
        <v>18</v>
      </c>
      <c r="J109" s="99" t="s">
        <v>20</v>
      </c>
      <c r="K109" s="99" t="s">
        <v>21</v>
      </c>
      <c r="L109" s="99" t="s">
        <v>105</v>
      </c>
    </row>
    <row r="110" spans="1:12" ht="17.25" customHeight="1">
      <c r="A110" s="128"/>
      <c r="B110" s="8">
        <f>G106*$A$15</f>
        <v>7.16197243913529</v>
      </c>
      <c r="C110" s="17">
        <f>TRUNC(G106*180/PI())</f>
        <v>7</v>
      </c>
      <c r="D110" s="4">
        <f>TRUNC((G106*$A$15-C110)*60)</f>
        <v>9</v>
      </c>
      <c r="E110" s="18">
        <f>TRUNC(((G106*$A$15-C110)*60-D110)*60)</f>
        <v>43</v>
      </c>
      <c r="F110" s="11">
        <f>ROUND(F108-G108*1/TAN(G106),3)</f>
        <v>53.374</v>
      </c>
      <c r="G110" s="11">
        <f>ROUND(G108/SIN(I106),3)</f>
        <v>79.944</v>
      </c>
      <c r="H110" s="11">
        <f>ROUND(I108/COS(G106)-B106,3)</f>
        <v>3.356</v>
      </c>
      <c r="I110" s="9">
        <f>ROUND(F108+SQRT(H110^2-G108^2),3)</f>
        <v>80.292</v>
      </c>
      <c r="J110" s="11">
        <f>F108-F110</f>
        <v>26.500999999999998</v>
      </c>
      <c r="K110" s="11">
        <f>I110-F108</f>
        <v>0.4170000000000016</v>
      </c>
      <c r="L110" s="10">
        <f>INT(L108)+INT((L108-INT(L108))/0.6*100)/100+((L108-INT(L108))-INT((L108-INT(L108))*100)/100)/0.6</f>
        <v>29.762000000000004</v>
      </c>
    </row>
    <row r="111" spans="2:12" ht="17.25" customHeight="1">
      <c r="B111" s="27" t="s">
        <v>64</v>
      </c>
      <c r="C111" s="163" t="s">
        <v>42</v>
      </c>
      <c r="D111" s="164"/>
      <c r="E111" s="165"/>
      <c r="F111" s="27" t="s">
        <v>126</v>
      </c>
      <c r="G111" s="161">
        <v>-38118.882</v>
      </c>
      <c r="H111" s="161"/>
      <c r="I111" s="27" t="s">
        <v>56</v>
      </c>
      <c r="J111" s="162">
        <f>J17</f>
        <v>-38031.114</v>
      </c>
      <c r="K111" s="162"/>
      <c r="L111" s="26"/>
    </row>
    <row r="112" spans="2:11" ht="17.25" customHeight="1">
      <c r="B112" s="8">
        <f>IF(H115&lt;0,PI()+H115+PI(),H115)</f>
        <v>5.488760375669836</v>
      </c>
      <c r="C112" s="17">
        <f>TRUNC(B112*$A$15)</f>
        <v>314</v>
      </c>
      <c r="D112" s="4">
        <f>TRUNC((B112*$A$15-C112)*60)</f>
        <v>28</v>
      </c>
      <c r="E112" s="18">
        <f>TRUNC(((B112*$A$15-C112)*60-D112)*60)</f>
        <v>58</v>
      </c>
      <c r="F112" s="27" t="s">
        <v>127</v>
      </c>
      <c r="G112" s="161">
        <v>16388.378</v>
      </c>
      <c r="H112" s="161"/>
      <c r="I112" s="27" t="s">
        <v>57</v>
      </c>
      <c r="J112" s="162">
        <f>J18</f>
        <v>16299.011</v>
      </c>
      <c r="K112" s="162"/>
    </row>
    <row r="113" spans="1:14" ht="17.25" customHeight="1">
      <c r="A113" s="96" t="s">
        <v>118</v>
      </c>
      <c r="B113" s="1" t="s">
        <v>28</v>
      </c>
      <c r="C113" s="111"/>
      <c r="D113" s="111"/>
      <c r="E113" s="111"/>
      <c r="F113" s="113"/>
      <c r="G113" s="114"/>
      <c r="H113" s="114"/>
      <c r="I113" s="113"/>
      <c r="J113" s="114"/>
      <c r="K113" s="112"/>
      <c r="L113" s="111"/>
      <c r="M113" s="111"/>
      <c r="N113" s="111"/>
    </row>
    <row r="114" spans="1:10" ht="17.25" customHeight="1">
      <c r="A114" s="127"/>
      <c r="B114" s="141"/>
      <c r="C114" s="19"/>
      <c r="D114" s="19"/>
      <c r="E114" s="2"/>
      <c r="F114" s="29" t="s">
        <v>60</v>
      </c>
      <c r="G114" s="29" t="s">
        <v>61</v>
      </c>
      <c r="H114" s="29" t="s">
        <v>58</v>
      </c>
      <c r="I114" s="29" t="s">
        <v>59</v>
      </c>
      <c r="J114" s="29" t="s">
        <v>64</v>
      </c>
    </row>
    <row r="115" spans="1:11" ht="17.25" customHeight="1">
      <c r="A115" s="1" t="s">
        <v>119</v>
      </c>
      <c r="B115" s="1" t="s">
        <v>45</v>
      </c>
      <c r="F115" s="9">
        <f>J111-G111</f>
        <v>87.76799999999639</v>
      </c>
      <c r="G115" s="9">
        <f>J112-G112</f>
        <v>-89.36700000000019</v>
      </c>
      <c r="H115" s="8">
        <f>IF(G115&gt;0,PI()+ATAN(G115/F115),ATAN(G115/F115))</f>
        <v>-0.7944249315097509</v>
      </c>
      <c r="I115" s="9">
        <f>SQRT(F115^2+G115^2)</f>
        <v>125.25846283983928</v>
      </c>
      <c r="J115" s="8">
        <f>H115*$A$15</f>
        <v>-45.517195715478216</v>
      </c>
      <c r="K115" s="12"/>
    </row>
    <row r="116" spans="1:14" ht="17.25" customHeight="1">
      <c r="A116" s="99" t="s">
        <v>30</v>
      </c>
      <c r="B116" s="99" t="s">
        <v>8</v>
      </c>
      <c r="C116" s="158" t="s">
        <v>42</v>
      </c>
      <c r="D116" s="158"/>
      <c r="E116" s="158"/>
      <c r="F116" s="99" t="s">
        <v>44</v>
      </c>
      <c r="G116" s="99" t="s">
        <v>2</v>
      </c>
      <c r="H116" s="99" t="s">
        <v>47</v>
      </c>
      <c r="I116" s="28" t="s">
        <v>90</v>
      </c>
      <c r="J116" s="28" t="s">
        <v>91</v>
      </c>
      <c r="K116" s="52" t="s">
        <v>63</v>
      </c>
      <c r="L116" s="29" t="s">
        <v>150</v>
      </c>
      <c r="M116" s="29" t="s">
        <v>151</v>
      </c>
      <c r="N116" s="145"/>
    </row>
    <row r="117" spans="1:14" ht="17.25" customHeight="1">
      <c r="A117" s="100">
        <f>IF(K106-J106&gt;$F$106,"",IF(J106-K106=$F$106,$F$106,J106-K106))</f>
        <v>13.669999999999959</v>
      </c>
      <c r="B117" s="8">
        <f aca="true" t="shared" si="26" ref="B117:B124">IF(A117&gt;$F$11,"",(H117*$A$15))</f>
        <v>0.07125294437444857</v>
      </c>
      <c r="C117" s="20">
        <f aca="true" t="shared" si="27" ref="C117:C124">IF(A117&gt;$F$11,"",INT(B117))</f>
        <v>0</v>
      </c>
      <c r="D117" s="21">
        <f aca="true" t="shared" si="28" ref="D117:D124">IF(A117&gt;$F$11,"",TRUNC((H117*$A$15-C117)*60))</f>
        <v>4</v>
      </c>
      <c r="E117" s="22">
        <f aca="true" t="shared" si="29" ref="E117:E124">IF(A117&gt;$F$11,"",TRUNC(((H117*$A$15-C117)*60-D117)*60))</f>
        <v>16</v>
      </c>
      <c r="F117" s="23">
        <f>IF(A117&gt;$F$11,"",IF(ISERROR(ROUND(J117/SIN(H117),3)),A117,ROUND(J117/SIN(H117),3)))</f>
        <v>13.67</v>
      </c>
      <c r="G117" s="49">
        <f aca="true" t="shared" si="30" ref="G117:G124">IF(A117&gt;$F$11,"",$A$11^2/A117)</f>
        <v>1872.7139722019076</v>
      </c>
      <c r="H117" s="8">
        <f aca="true" t="shared" si="31" ref="H117:H124">IF(A117&gt;$F$11,"",ATAN(J117/I117))</f>
        <v>0.0012435984810744989</v>
      </c>
      <c r="I117" s="9">
        <f aca="true" t="shared" si="32" ref="I117:I124">IF(A117&gt;$F$11,"",ROUND(A117*(1-A117^2/40/G117^2+A117^4/3456/G117^4-A117^6/599040/G117^6),3))</f>
        <v>13.67</v>
      </c>
      <c r="J117" s="9">
        <f aca="true" t="shared" si="33" ref="J117:J124">IF(A117&gt;$F$11,"",ROUND(A117^2/6/G117*(1-A117^2/56/G117^2+A117^4/7040/G117^4-A117^6/1612800/G117^6),3))</f>
        <v>0.017</v>
      </c>
      <c r="K117" s="50">
        <f>IF(A117&gt;$F$106,"",IF($B$19=0,($B$112+H117),IF($B$19=1,($B$112-H117),"")))</f>
        <v>5.49000397415091</v>
      </c>
      <c r="L117" s="30">
        <f aca="true" t="shared" si="34" ref="L117:L124">IF(A117&gt;$F$11,"",$G$111+F117*COS(K117))</f>
        <v>-38109.29137559961</v>
      </c>
      <c r="M117" s="30">
        <f aca="true" t="shared" si="35" ref="M117:M124">IF(A117&gt;$F$11,"",$G$112+F117*SIN(K117))</f>
        <v>16378.636910553192</v>
      </c>
      <c r="N117" s="37"/>
    </row>
    <row r="118" spans="1:14" ht="17.25" customHeight="1">
      <c r="A118" s="100">
        <f>IF(A117="","",IF(A117+$L$106&gt;$F$106,"",IF(A117+$L$106=$F$106,$F$106,A117+$L$106)))</f>
        <v>33.66999999999996</v>
      </c>
      <c r="B118" s="8">
        <f t="shared" si="26"/>
        <v>0.42203565208272464</v>
      </c>
      <c r="C118" s="20">
        <f t="shared" si="27"/>
        <v>0</v>
      </c>
      <c r="D118" s="21">
        <f t="shared" si="28"/>
        <v>25</v>
      </c>
      <c r="E118" s="22">
        <f t="shared" si="29"/>
        <v>19</v>
      </c>
      <c r="F118" s="23">
        <f aca="true" t="shared" si="36" ref="F118:F124">IF(A118&gt;$F$11,"",IF(ISERROR(ROUND(J118/SIN(H118),3)),A118,ROUND(J118/SIN(H118),3)))</f>
        <v>33.669</v>
      </c>
      <c r="G118" s="49">
        <f t="shared" si="30"/>
        <v>760.3207603207612</v>
      </c>
      <c r="H118" s="8">
        <f t="shared" si="31"/>
        <v>0.007365911689644809</v>
      </c>
      <c r="I118" s="9">
        <f t="shared" si="32"/>
        <v>33.668</v>
      </c>
      <c r="J118" s="9">
        <f t="shared" si="33"/>
        <v>0.248</v>
      </c>
      <c r="K118" s="50">
        <f aca="true" t="shared" si="37" ref="K118:K124">IF(A118&gt;$F$106,"",IF($B$19=0,($B$112+H118),IF($B$19=1,($B$112-H118),"")))</f>
        <v>5.4961262873594805</v>
      </c>
      <c r="L118" s="30">
        <f t="shared" si="34"/>
        <v>-38095.11399557116</v>
      </c>
      <c r="M118" s="30">
        <f t="shared" si="35"/>
        <v>16364.53091366915</v>
      </c>
      <c r="N118" s="37"/>
    </row>
    <row r="119" spans="1:14" ht="17.25" customHeight="1">
      <c r="A119" s="100">
        <f aca="true" t="shared" si="38" ref="A119:A124">IF(A118="","",IF(A118+$L$106&gt;$F$106,"",IF(A118+$L$106=$F$106,$F$106,A118+$L$106)))</f>
        <v>53.66999999999996</v>
      </c>
      <c r="B119" s="8">
        <f t="shared" si="26"/>
        <v>1.074176670371789</v>
      </c>
      <c r="C119" s="20">
        <f t="shared" si="27"/>
        <v>1</v>
      </c>
      <c r="D119" s="21">
        <f t="shared" si="28"/>
        <v>4</v>
      </c>
      <c r="E119" s="22">
        <f t="shared" si="29"/>
        <v>27</v>
      </c>
      <c r="F119" s="23">
        <f t="shared" si="36"/>
        <v>53.662</v>
      </c>
      <c r="G119" s="49">
        <f t="shared" si="30"/>
        <v>476.9890068939821</v>
      </c>
      <c r="H119" s="8">
        <f t="shared" si="31"/>
        <v>0.01874791964609754</v>
      </c>
      <c r="I119" s="9">
        <f t="shared" si="32"/>
        <v>53.653</v>
      </c>
      <c r="J119" s="9">
        <f t="shared" si="33"/>
        <v>1.006</v>
      </c>
      <c r="K119" s="50">
        <f t="shared" si="37"/>
        <v>5.507508295315933</v>
      </c>
      <c r="L119" s="30">
        <f t="shared" si="34"/>
        <v>-38080.5701678069</v>
      </c>
      <c r="M119" s="30">
        <f t="shared" si="35"/>
        <v>16350.803889790866</v>
      </c>
      <c r="N119" s="37"/>
    </row>
    <row r="120" spans="1:14" ht="17.25" customHeight="1">
      <c r="A120" s="100">
        <f t="shared" si="38"/>
        <v>73.66999999999996</v>
      </c>
      <c r="B120" s="8">
        <f t="shared" si="26"/>
        <v>2.0243291312759157</v>
      </c>
      <c r="C120" s="20">
        <f t="shared" si="27"/>
        <v>2</v>
      </c>
      <c r="D120" s="21">
        <f t="shared" si="28"/>
        <v>1</v>
      </c>
      <c r="E120" s="22">
        <f t="shared" si="29"/>
        <v>27</v>
      </c>
      <c r="F120" s="23">
        <f t="shared" si="36"/>
        <v>73.633</v>
      </c>
      <c r="G120" s="49">
        <f t="shared" si="30"/>
        <v>347.49558843491263</v>
      </c>
      <c r="H120" s="8">
        <f t="shared" si="31"/>
        <v>0.03533120848480125</v>
      </c>
      <c r="I120" s="9">
        <f t="shared" si="32"/>
        <v>73.587</v>
      </c>
      <c r="J120" s="9">
        <f t="shared" si="33"/>
        <v>2.601</v>
      </c>
      <c r="K120" s="50">
        <f t="shared" si="37"/>
        <v>5.524091584154637</v>
      </c>
      <c r="L120" s="30">
        <f t="shared" si="34"/>
        <v>-38065.464198913745</v>
      </c>
      <c r="M120" s="30">
        <f t="shared" si="35"/>
        <v>16337.699037736455</v>
      </c>
      <c r="N120" s="37"/>
    </row>
    <row r="121" spans="1:14" ht="17.25" customHeight="1">
      <c r="A121" s="100">
        <f t="shared" si="38"/>
      </c>
      <c r="B121" s="8">
        <f t="shared" si="26"/>
      </c>
      <c r="C121" s="20">
        <f t="shared" si="27"/>
      </c>
      <c r="D121" s="21">
        <f t="shared" si="28"/>
      </c>
      <c r="E121" s="22">
        <f t="shared" si="29"/>
      </c>
      <c r="F121" s="23">
        <f t="shared" si="36"/>
      </c>
      <c r="G121" s="49">
        <f t="shared" si="30"/>
      </c>
      <c r="H121" s="8">
        <f t="shared" si="31"/>
      </c>
      <c r="I121" s="9">
        <f t="shared" si="32"/>
      </c>
      <c r="J121" s="9">
        <f t="shared" si="33"/>
      </c>
      <c r="K121" s="50">
        <f t="shared" si="37"/>
      </c>
      <c r="L121" s="30">
        <f t="shared" si="34"/>
      </c>
      <c r="M121" s="30">
        <f t="shared" si="35"/>
      </c>
      <c r="N121" s="37"/>
    </row>
    <row r="122" spans="1:14" ht="17.25" customHeight="1">
      <c r="A122" s="100">
        <f t="shared" si="38"/>
      </c>
      <c r="B122" s="8">
        <f t="shared" si="26"/>
      </c>
      <c r="C122" s="20">
        <f t="shared" si="27"/>
      </c>
      <c r="D122" s="21">
        <f t="shared" si="28"/>
      </c>
      <c r="E122" s="22">
        <f t="shared" si="29"/>
      </c>
      <c r="F122" s="23">
        <f t="shared" si="36"/>
      </c>
      <c r="G122" s="49">
        <f t="shared" si="30"/>
      </c>
      <c r="H122" s="8">
        <f t="shared" si="31"/>
      </c>
      <c r="I122" s="9">
        <f t="shared" si="32"/>
      </c>
      <c r="J122" s="9">
        <f t="shared" si="33"/>
      </c>
      <c r="K122" s="50">
        <f t="shared" si="37"/>
      </c>
      <c r="L122" s="30">
        <f t="shared" si="34"/>
      </c>
      <c r="M122" s="30">
        <f t="shared" si="35"/>
      </c>
      <c r="N122" s="37"/>
    </row>
    <row r="123" spans="1:14" ht="17.25" customHeight="1">
      <c r="A123" s="100">
        <f t="shared" si="38"/>
      </c>
      <c r="B123" s="8">
        <f t="shared" si="26"/>
      </c>
      <c r="C123" s="20">
        <f t="shared" si="27"/>
      </c>
      <c r="D123" s="21">
        <f t="shared" si="28"/>
      </c>
      <c r="E123" s="22">
        <f t="shared" si="29"/>
      </c>
      <c r="F123" s="23">
        <f t="shared" si="36"/>
      </c>
      <c r="G123" s="49">
        <f t="shared" si="30"/>
      </c>
      <c r="H123" s="8">
        <f t="shared" si="31"/>
      </c>
      <c r="I123" s="9">
        <f t="shared" si="32"/>
      </c>
      <c r="J123" s="9">
        <f t="shared" si="33"/>
      </c>
      <c r="K123" s="50">
        <f t="shared" si="37"/>
      </c>
      <c r="L123" s="30">
        <f t="shared" si="34"/>
      </c>
      <c r="M123" s="30">
        <f t="shared" si="35"/>
      </c>
      <c r="N123" s="37"/>
    </row>
    <row r="124" spans="1:14" ht="17.25" customHeight="1">
      <c r="A124" s="100">
        <f t="shared" si="38"/>
      </c>
      <c r="B124" s="8">
        <f t="shared" si="26"/>
      </c>
      <c r="C124" s="20">
        <f t="shared" si="27"/>
      </c>
      <c r="D124" s="21">
        <f t="shared" si="28"/>
      </c>
      <c r="E124" s="22">
        <f t="shared" si="29"/>
      </c>
      <c r="F124" s="23">
        <f t="shared" si="36"/>
      </c>
      <c r="G124" s="49">
        <f t="shared" si="30"/>
      </c>
      <c r="H124" s="8">
        <f t="shared" si="31"/>
      </c>
      <c r="I124" s="9">
        <f t="shared" si="32"/>
      </c>
      <c r="J124" s="9">
        <f t="shared" si="33"/>
      </c>
      <c r="K124" s="50">
        <f t="shared" si="37"/>
      </c>
      <c r="L124" s="30">
        <f t="shared" si="34"/>
      </c>
      <c r="M124" s="30">
        <f t="shared" si="35"/>
      </c>
      <c r="N124" s="37"/>
    </row>
    <row r="125" spans="1:14" ht="17.25" customHeight="1">
      <c r="A125" s="122" t="s">
        <v>128</v>
      </c>
      <c r="B125" s="31"/>
      <c r="C125" s="32"/>
      <c r="D125" s="32"/>
      <c r="E125" s="33"/>
      <c r="F125" s="34"/>
      <c r="G125" s="56"/>
      <c r="H125" s="31"/>
      <c r="I125" s="35"/>
      <c r="J125" s="35"/>
      <c r="K125" s="54"/>
      <c r="L125" s="37"/>
      <c r="M125" s="37"/>
      <c r="N125" s="37"/>
    </row>
    <row r="126" spans="1:14" ht="17.25" customHeight="1">
      <c r="A126" s="99" t="s">
        <v>30</v>
      </c>
      <c r="B126" s="99" t="s">
        <v>32</v>
      </c>
      <c r="C126" s="158" t="s">
        <v>42</v>
      </c>
      <c r="D126" s="158"/>
      <c r="E126" s="158"/>
      <c r="F126" s="99" t="s">
        <v>29</v>
      </c>
      <c r="G126" s="99"/>
      <c r="H126" s="99" t="s">
        <v>43</v>
      </c>
      <c r="I126" s="99"/>
      <c r="J126" s="99" t="s">
        <v>117</v>
      </c>
      <c r="K126" s="52" t="s">
        <v>63</v>
      </c>
      <c r="L126" s="29" t="s">
        <v>123</v>
      </c>
      <c r="M126" s="29" t="s">
        <v>124</v>
      </c>
      <c r="N126" s="145"/>
    </row>
    <row r="127" spans="1:14" ht="17.25" customHeight="1">
      <c r="A127" s="100">
        <f>G63</f>
        <v>86.267</v>
      </c>
      <c r="B127" s="8">
        <f>IF(A127&gt;$G$63,"",H127*$A$15)</f>
        <v>7.723023455086051</v>
      </c>
      <c r="C127" s="20">
        <f>IF(A127&gt;$G$63,"",INT(B127))</f>
        <v>7</v>
      </c>
      <c r="D127" s="21">
        <f>IF(A127&gt;$G$63,"",TRUNC((H127*$A$15-C127)*60))</f>
        <v>43</v>
      </c>
      <c r="E127" s="22">
        <f>IF(A127&gt;$G$63,"",TRUNC(((H127*$A$15-C127)*60-D127)*60))</f>
        <v>22</v>
      </c>
      <c r="F127" s="23">
        <f>IF(A127&gt;$G$63,"",2*$B$11*SIN(B127*PI()/180))</f>
        <v>86.0060073086263</v>
      </c>
      <c r="G127" s="9"/>
      <c r="H127" s="8">
        <f>IF(A127&gt;$G$63,"",(A127/(2*$B$11)))</f>
        <v>0.1347921875</v>
      </c>
      <c r="I127" s="9"/>
      <c r="J127" s="9">
        <f>K119</f>
        <v>5.507508295315933</v>
      </c>
      <c r="K127" s="50">
        <f>IF(A127&gt;$G$63,"",IF($B$19=0,($B$63-H127),IF($B$19=1,($B$63+H127),"")))</f>
        <v>2.6069922800537904</v>
      </c>
      <c r="L127" s="30">
        <f>IF(A127&gt;$G$63,"",$L$56+F127*COS(K127))</f>
        <v>-38060.53760889395</v>
      </c>
      <c r="M127" s="30">
        <f>IF(A127&gt;$G$63,"",$M$56+F127*SIN(K127))</f>
        <v>16333.720965618777</v>
      </c>
      <c r="N127" s="37"/>
    </row>
    <row r="128" spans="1:14" ht="17.25" customHeight="1">
      <c r="A128" s="104"/>
      <c r="B128" s="31"/>
      <c r="C128" s="32"/>
      <c r="D128" s="32"/>
      <c r="E128" s="33"/>
      <c r="F128" s="34"/>
      <c r="G128" s="56"/>
      <c r="H128" s="31"/>
      <c r="I128" s="35"/>
      <c r="J128" s="35"/>
      <c r="K128" s="54"/>
      <c r="L128" s="37"/>
      <c r="M128" s="37"/>
      <c r="N128" s="37"/>
    </row>
    <row r="129" spans="1:14" ht="17.25" customHeight="1">
      <c r="A129" s="99" t="s">
        <v>30</v>
      </c>
      <c r="B129" s="99" t="s">
        <v>8</v>
      </c>
      <c r="C129" s="158" t="s">
        <v>42</v>
      </c>
      <c r="D129" s="158"/>
      <c r="E129" s="158"/>
      <c r="F129" s="73" t="s">
        <v>108</v>
      </c>
      <c r="G129" s="133"/>
      <c r="H129" s="134"/>
      <c r="I129" s="135"/>
      <c r="J129" s="136"/>
      <c r="K129" s="65" t="s">
        <v>107</v>
      </c>
      <c r="L129" s="59" t="s">
        <v>150</v>
      </c>
      <c r="M129" s="59" t="s">
        <v>151</v>
      </c>
      <c r="N129" s="145"/>
    </row>
    <row r="130" spans="1:14" ht="17.25" customHeight="1">
      <c r="A130" s="139">
        <f>A82</f>
        <v>4.25</v>
      </c>
      <c r="B130" s="50">
        <f>IF(2*PI()&lt;(K127*$A$15-90)*$A$13,(K127*$A$15-90)*$A$13-2*PI(),(K127*$A$15-90)*$A$13)</f>
        <v>1.0361959532588936</v>
      </c>
      <c r="C130" s="17">
        <f>IF(A130&gt;$F$11,"",TRUNC(B130*$A$15))</f>
        <v>59</v>
      </c>
      <c r="D130" s="4">
        <f>IF(A130&gt;$F$11,"",TRUNC((B130*$A$15-C130)*60))</f>
        <v>22</v>
      </c>
      <c r="E130" s="4">
        <f>IF(A130&gt;$F$11,"",TRUNC(((B130*$A$15-C130)*60-D130)*60))</f>
        <v>10</v>
      </c>
      <c r="F130" s="74">
        <f>IF($B$19=0,$B$11-A130,IF($B$19=1,$B$11+A130,""))</f>
        <v>315.75</v>
      </c>
      <c r="G130" s="56"/>
      <c r="H130" s="31"/>
      <c r="I130" s="35"/>
      <c r="J130" s="26"/>
      <c r="K130" s="60" t="s">
        <v>138</v>
      </c>
      <c r="L130" s="30">
        <f>L127+A130*COS(B130)</f>
        <v>-38058.372245740335</v>
      </c>
      <c r="M130" s="30">
        <f>M127+A130*SIN(B130)</f>
        <v>16337.377972921606</v>
      </c>
      <c r="N130" s="37"/>
    </row>
    <row r="131" spans="1:14" ht="17.25" customHeight="1">
      <c r="A131" s="140">
        <f>A83</f>
        <v>4.25</v>
      </c>
      <c r="B131" s="50">
        <f>IF(2*PI()&lt;(K127*$A$15+90)*$A$13,(K127*$A$15+90)*$A$13-2*PI(),(K127*$A$15+90)*$A$13)</f>
        <v>4.1777886068486865</v>
      </c>
      <c r="C131" s="17">
        <f>IF(A131&gt;$F$11,"",TRUNC(B131*$A$15))</f>
        <v>239</v>
      </c>
      <c r="D131" s="4">
        <f>IF(A131&gt;$F$11,"",TRUNC((B131*$A$15-C131)*60))</f>
        <v>22</v>
      </c>
      <c r="E131" s="4">
        <f>IF(A131&gt;$F$11,"",TRUNC(((B131*$A$15-C131)*60-D131)*60))</f>
        <v>10</v>
      </c>
      <c r="F131" s="74">
        <f>IF($B$19=0,$B$11+A131,IF($B$19=1,$B$11-A131,""))</f>
        <v>324.25</v>
      </c>
      <c r="G131" s="89"/>
      <c r="H131" s="86"/>
      <c r="I131" s="84"/>
      <c r="J131" s="98"/>
      <c r="K131" s="60" t="s">
        <v>139</v>
      </c>
      <c r="L131" s="93">
        <f>L127+A131*COS(B131)</f>
        <v>-38062.70297204757</v>
      </c>
      <c r="M131" s="93">
        <f>M127+A131*SIN(B131)</f>
        <v>16330.063958315948</v>
      </c>
      <c r="N131" s="146"/>
    </row>
    <row r="132" spans="1:14" ht="17.25" customHeight="1">
      <c r="A132" s="97" t="s">
        <v>113</v>
      </c>
      <c r="C132" s="53" t="s">
        <v>104</v>
      </c>
      <c r="D132" s="32"/>
      <c r="E132" s="33"/>
      <c r="F132" s="34"/>
      <c r="G132" s="56"/>
      <c r="H132" s="31"/>
      <c r="I132" s="35"/>
      <c r="J132" s="35"/>
      <c r="K132" s="54"/>
      <c r="L132" s="37"/>
      <c r="M132" s="37"/>
      <c r="N132" s="37"/>
    </row>
    <row r="133" spans="1:14" ht="17.25" customHeight="1">
      <c r="A133" s="99" t="s">
        <v>30</v>
      </c>
      <c r="B133" s="99" t="s">
        <v>8</v>
      </c>
      <c r="C133" s="158" t="s">
        <v>42</v>
      </c>
      <c r="D133" s="158"/>
      <c r="E133" s="158"/>
      <c r="F133" s="73" t="s">
        <v>108</v>
      </c>
      <c r="G133" s="133"/>
      <c r="H133" s="134"/>
      <c r="I133" s="135"/>
      <c r="J133" s="136"/>
      <c r="K133" s="65" t="s">
        <v>107</v>
      </c>
      <c r="L133" s="59" t="s">
        <v>150</v>
      </c>
      <c r="M133" s="59" t="s">
        <v>151</v>
      </c>
      <c r="N133" s="145"/>
    </row>
    <row r="134" spans="1:14" ht="17.25" customHeight="1">
      <c r="A134" s="139">
        <f>A130</f>
        <v>4.25</v>
      </c>
      <c r="B134" s="50">
        <f>IF(2*PI()&lt;(B112*$A$15+90)*$A$13,(B112*$A$15+90)*$A$13-2*PI(),(B112*$A$15+90)*$A$13)</f>
        <v>0.7763713952851461</v>
      </c>
      <c r="C134" s="17">
        <f>TRUNC(B134*$A$15)</f>
        <v>44</v>
      </c>
      <c r="D134" s="4">
        <f>TRUNC((B134*$A$15-C134)*60)</f>
        <v>28</v>
      </c>
      <c r="E134" s="18">
        <f>TRUNC(((B134*$A$15-C134)*60-D134)*60)</f>
        <v>58</v>
      </c>
      <c r="F134" s="74">
        <f>IF($B$19=0,$B$11-A134,IF($B$19=1,$B$11+A134,""))</f>
        <v>315.75</v>
      </c>
      <c r="G134" s="56"/>
      <c r="H134" s="31"/>
      <c r="I134" s="35"/>
      <c r="K134" s="60" t="s">
        <v>136</v>
      </c>
      <c r="L134" s="30">
        <f>$G$111+A134*COS(B134)</f>
        <v>-38115.84979170533</v>
      </c>
      <c r="M134" s="30">
        <f>$G$112+A134*SIN(B134)</f>
        <v>16391.355954475435</v>
      </c>
      <c r="N134" s="37"/>
    </row>
    <row r="135" spans="1:14" ht="17.25" customHeight="1">
      <c r="A135" s="140">
        <f>A131</f>
        <v>4.25</v>
      </c>
      <c r="B135" s="50">
        <f>IF(2*PI()&lt;(B112*$A$15-90)*$A$13,(B112*$A$15-90)*$A$13-2*PI(),(B112*$A$15-90)*$A$13)</f>
        <v>3.917964048874939</v>
      </c>
      <c r="C135" s="17">
        <f>TRUNC(B135*$A$15)</f>
        <v>224</v>
      </c>
      <c r="D135" s="4">
        <f>TRUNC((B135*$A$15-C135)*60)</f>
        <v>28</v>
      </c>
      <c r="E135" s="18">
        <f>TRUNC(((B135*$A$15-C135)*60-D135)*60)</f>
        <v>58</v>
      </c>
      <c r="F135" s="74">
        <f>IF($B$19=0,$B$11+A135,IF($B$19=1,$B$11-A135,""))</f>
        <v>324.25</v>
      </c>
      <c r="G135" s="89"/>
      <c r="H135" s="86"/>
      <c r="I135" s="84"/>
      <c r="J135" s="87"/>
      <c r="K135" s="60" t="s">
        <v>135</v>
      </c>
      <c r="L135" s="93">
        <f>$G$111+A135*COS(B135)</f>
        <v>-38121.914208294664</v>
      </c>
      <c r="M135" s="93">
        <f>$G$112+A135*SIN(B135)</f>
        <v>16385.400045524566</v>
      </c>
      <c r="N135" s="146"/>
    </row>
    <row r="136" spans="1:14" ht="17.25" customHeight="1">
      <c r="A136" s="77" t="s">
        <v>115</v>
      </c>
      <c r="B136" s="78" t="s">
        <v>147</v>
      </c>
      <c r="C136" s="158" t="s">
        <v>42</v>
      </c>
      <c r="D136" s="158"/>
      <c r="E136" s="158"/>
      <c r="F136" s="149" t="s">
        <v>148</v>
      </c>
      <c r="G136" s="149" t="s">
        <v>148</v>
      </c>
      <c r="H136" s="57"/>
      <c r="I136" s="58"/>
      <c r="J136" s="58"/>
      <c r="K136" s="75" t="s">
        <v>116</v>
      </c>
      <c r="L136" s="59" t="s">
        <v>150</v>
      </c>
      <c r="M136" s="59" t="s">
        <v>151</v>
      </c>
      <c r="N136" s="145"/>
    </row>
    <row r="137" spans="1:14" ht="17.25" customHeight="1">
      <c r="A137" s="156">
        <f>A117</f>
        <v>13.669999999999959</v>
      </c>
      <c r="B137" s="55">
        <f>IF(A137&gt;$F$11,"",G137*$A$13)</f>
        <v>3.921694844318162</v>
      </c>
      <c r="C137" s="17">
        <f>IF(A137&gt;$F$11,"",TRUNC(B137*$A$15))</f>
        <v>224</v>
      </c>
      <c r="D137" s="4">
        <f>IF(A137&gt;$F$11,"",TRUNC((B137*$A$15-C137)*60))</f>
        <v>41</v>
      </c>
      <c r="E137" s="4">
        <f>IF(A137&gt;$F$11,"",TRUNC(((B137*$A$15-C137)*60-D137)*60))</f>
        <v>47</v>
      </c>
      <c r="F137" s="150">
        <f>IF(A137="","",IF($B$19=0,K117*$A$15-90+B117*2,IF($B$19=1,K117*$A$15-90-B117*2)))</f>
        <v>224.69656311764513</v>
      </c>
      <c r="G137" s="100">
        <f>IF(F137="","",IF(F137&gt;360,F137-360,F137))</f>
        <v>224.69656311764513</v>
      </c>
      <c r="H137" s="81"/>
      <c r="I137" s="82"/>
      <c r="J137" s="83"/>
      <c r="K137" s="159">
        <f>K106</f>
        <v>860</v>
      </c>
      <c r="L137" s="72">
        <f>IF(A137&gt;$F$11,"",L117+$A$32*COS(B137))</f>
        <v>-38112.312452678685</v>
      </c>
      <c r="M137" s="152">
        <f>IF(A137&gt;$F$11,"",M117+$A$32*SIN(B137))</f>
        <v>16375.647664279915</v>
      </c>
      <c r="N137" s="147"/>
    </row>
    <row r="138" spans="1:14" ht="17.25" customHeight="1">
      <c r="A138" s="157"/>
      <c r="B138" s="50">
        <f>IF(A137&gt;$F$11,"",G138*$A$13)</f>
        <v>0.7801021907283686</v>
      </c>
      <c r="C138" s="17">
        <f>IF(A137&gt;$F$11,"",TRUNC(B138*$A$15))</f>
        <v>44</v>
      </c>
      <c r="D138" s="4">
        <f>IF(A137&gt;$F$11,"",TRUNC((B138*$A$15-C138)*60))</f>
        <v>41</v>
      </c>
      <c r="E138" s="4">
        <f>IF(A137&gt;$F$11,"",TRUNC(((B138*$A$15-C138)*60-D138)*60))</f>
        <v>47</v>
      </c>
      <c r="F138" s="151">
        <f>IF(A137="","",IF($B$19=0,K117*$A$15+90+B117*2,IF($B$19=1,K117*$A$15+90-B117*2)))</f>
        <v>404.6965631176451</v>
      </c>
      <c r="G138" s="100">
        <f>IF(F138="","",IF(F138&gt;360,F138-360,F138))</f>
        <v>44.6965631176451</v>
      </c>
      <c r="H138" s="3"/>
      <c r="I138" s="79"/>
      <c r="J138" s="80"/>
      <c r="K138" s="160"/>
      <c r="L138" s="94">
        <f>IF(A137&gt;$F$11,"",L117+$A$33*COS(B138))</f>
        <v>-38106.27029852054</v>
      </c>
      <c r="M138" s="153">
        <f>IF(A137&gt;$F$11,"",M117+$A$33*SIN(B138))</f>
        <v>16381.626156826469</v>
      </c>
      <c r="N138" s="148"/>
    </row>
    <row r="139" spans="1:14" ht="17.25" customHeight="1">
      <c r="A139" s="166">
        <f>A118</f>
        <v>33.66999999999996</v>
      </c>
      <c r="B139" s="55">
        <f>IF(A139&gt;$F$11,"",G139*$A$13)</f>
        <v>3.9400617839438734</v>
      </c>
      <c r="C139" s="17">
        <f aca="true" t="shared" si="39" ref="C139:C151">IF(A139&gt;$F$11,"",TRUNC(B139*$A$15))</f>
        <v>225</v>
      </c>
      <c r="D139" s="4">
        <f>IF(A139&gt;$F$11,"",TRUNC((B139*$A$15-C139)*60))</f>
        <v>44</v>
      </c>
      <c r="E139" s="4">
        <f>IF(A139&gt;$F$11,"",TRUNC(((B139*$A$15-C139)*60-D139)*60))</f>
        <v>56</v>
      </c>
      <c r="F139" s="150">
        <f>IF(A139="","",IF($B$19=0,K118*$A$15-90+B118*2,IF($B$19=1,K118*$A$15-90-B118*2)))</f>
        <v>225.74891124076996</v>
      </c>
      <c r="G139" s="100">
        <f aca="true" t="shared" si="40" ref="G139:G152">IF(F139="","",IF(F139&gt;360,F139-360,F139))</f>
        <v>225.74891124076996</v>
      </c>
      <c r="H139" s="81"/>
      <c r="I139" s="82"/>
      <c r="J139" s="83"/>
      <c r="K139" s="159">
        <f>IF(K137="","",IF($J$106-$F$106&gt;K137-$L$106,"",K137-$L$106))</f>
        <v>840</v>
      </c>
      <c r="L139" s="72">
        <f>IF(A139&gt;$F$11,"",L118+$A$32*COS(B139))</f>
        <v>-38098.079662873744</v>
      </c>
      <c r="M139" s="152">
        <f>IF(A139&gt;$F$11,"",M118+$A$32*SIN(B139))</f>
        <v>16361.486686763941</v>
      </c>
      <c r="N139" s="147"/>
    </row>
    <row r="140" spans="1:14" ht="17.25" customHeight="1">
      <c r="A140" s="166"/>
      <c r="B140" s="50">
        <f>IF(A139&gt;$F$11,"",G140*$A$13)</f>
        <v>0.7984691303540795</v>
      </c>
      <c r="C140" s="17">
        <f>IF(A139&gt;$F$11,"",TRUNC(B140*$A$15))</f>
        <v>45</v>
      </c>
      <c r="D140" s="4">
        <f>IF(A139&gt;$F$11,"",TRUNC((B140*$A$15-C140)*60))</f>
        <v>44</v>
      </c>
      <c r="E140" s="4">
        <f>IF(A139&gt;$F$11,"",TRUNC(((B140*$A$15-C140)*60-D140)*60))</f>
        <v>56</v>
      </c>
      <c r="F140" s="151">
        <f>IF(A139="","",IF($B$19=0,K118*$A$15+90+B118*2,IF($B$19=1,K118*$A$15+90-B118*2)))</f>
        <v>405.7489112407699</v>
      </c>
      <c r="G140" s="100">
        <f t="shared" si="40"/>
        <v>45.74891124076993</v>
      </c>
      <c r="H140" s="3"/>
      <c r="I140" s="79"/>
      <c r="J140" s="80"/>
      <c r="K140" s="160"/>
      <c r="L140" s="94">
        <f>IF(A139&gt;$F$11,"",L118+$A$33*COS(B140))</f>
        <v>-38092.14832826858</v>
      </c>
      <c r="M140" s="153">
        <f>IF(A139&gt;$F$11,"",M118+$A$33*SIN(B140))</f>
        <v>16367.57514057436</v>
      </c>
      <c r="N140" s="148"/>
    </row>
    <row r="141" spans="1:14" ht="17.25" customHeight="1">
      <c r="A141" s="166">
        <f>A119</f>
        <v>53.66999999999996</v>
      </c>
      <c r="B141" s="55">
        <f>IF(A141&gt;$F$11,"",G141*$A$13)</f>
        <v>3.9742078078132312</v>
      </c>
      <c r="C141" s="17">
        <f t="shared" si="39"/>
        <v>227</v>
      </c>
      <c r="D141" s="4">
        <f>IF(A141&gt;$F$11,"",TRUNC((B141*$A$15-C141)*60))</f>
        <v>42</v>
      </c>
      <c r="E141" s="4">
        <f>IF(A141&gt;$F$11,"",TRUNC(((B141*$A$15-C141)*60-D141)*60))</f>
        <v>19</v>
      </c>
      <c r="F141" s="150">
        <f>IF(A141="","",IF($B$19=0,K119*$A$15-90+B119*2,IF($B$19=1,K119*$A$15-90-B119*2)))</f>
        <v>227.70533429563713</v>
      </c>
      <c r="G141" s="100">
        <f t="shared" si="40"/>
        <v>227.70533429563713</v>
      </c>
      <c r="H141" s="81"/>
      <c r="I141" s="82"/>
      <c r="J141" s="85"/>
      <c r="K141" s="159">
        <f>IF(K139="","",IF($J$106-$F$106&gt;K139-$L$106,"",K139-$L$106))</f>
        <v>820</v>
      </c>
      <c r="L141" s="72">
        <f>IF(A141&gt;$F$11,"",L119+$A$32*COS(B141))</f>
        <v>-38083.43017832017</v>
      </c>
      <c r="M141" s="152">
        <f>IF(A141&gt;$F$11,"",M119+$A$32*SIN(B141))</f>
        <v>16347.660191353682</v>
      </c>
      <c r="N141" s="147"/>
    </row>
    <row r="142" spans="1:14" ht="17.25" customHeight="1">
      <c r="A142" s="166"/>
      <c r="B142" s="50">
        <f>IF(A141&gt;$F$11,"",G142*$A$13)</f>
        <v>0.8326151542234383</v>
      </c>
      <c r="C142" s="17">
        <f>IF(A141&gt;$F$11,"",TRUNC(B142*$A$15))</f>
        <v>47</v>
      </c>
      <c r="D142" s="4">
        <f>IF(A141&gt;$F$11,"",TRUNC((B142*$A$15-C142)*60))</f>
        <v>42</v>
      </c>
      <c r="E142" s="4">
        <f>IF(A141&gt;$F$11,"",TRUNC(((B142*$A$15-C142)*60-D142)*60))</f>
        <v>19</v>
      </c>
      <c r="F142" s="151">
        <f>IF(A141="","",IF($B$19=0,K119*$A$15+90+B119*2,IF($B$19=1,K119*$A$15+90-B119*2)))</f>
        <v>407.70533429563716</v>
      </c>
      <c r="G142" s="100">
        <f t="shared" si="40"/>
        <v>47.70533429563716</v>
      </c>
      <c r="H142" s="3"/>
      <c r="I142" s="79"/>
      <c r="J142" s="84"/>
      <c r="K142" s="160"/>
      <c r="L142" s="94">
        <f>IF(A141&gt;$F$11,"",L119+$A$33*COS(B142))</f>
        <v>-38077.71015729363</v>
      </c>
      <c r="M142" s="153">
        <f>IF(A141&gt;$F$11,"",M119+$A$33*SIN(B142))</f>
        <v>16353.947588228051</v>
      </c>
      <c r="N142" s="148"/>
    </row>
    <row r="143" spans="1:14" ht="17.25" customHeight="1">
      <c r="A143" s="166">
        <f>A120</f>
        <v>73.66999999999996</v>
      </c>
      <c r="B143" s="55">
        <f>IF(A143&gt;$F$11,"",G143*$A$13)</f>
        <v>4.023957674329344</v>
      </c>
      <c r="C143" s="17">
        <f t="shared" si="39"/>
        <v>230</v>
      </c>
      <c r="D143" s="4">
        <f>IF(A143&gt;$F$11,"",TRUNC((B143*$A$15-C143)*60))</f>
        <v>33</v>
      </c>
      <c r="E143" s="4">
        <f>IF(A143&gt;$F$11,"",TRUNC(((B143*$A$15-C143)*60-D143)*60))</f>
        <v>20</v>
      </c>
      <c r="F143" s="150">
        <f>IF(A143="","",IF($B$19=0,K120*$A$15-90+B120*2,IF($B$19=1,K120*$A$15-90-B120*2)))</f>
        <v>230.55579167834958</v>
      </c>
      <c r="G143" s="100">
        <f t="shared" si="40"/>
        <v>230.55579167834958</v>
      </c>
      <c r="H143" s="81"/>
      <c r="I143" s="82"/>
      <c r="J143" s="88"/>
      <c r="K143" s="159">
        <f>IF(K141="","",IF($J$106-$F$106&gt;K141-$L$106,"",K141-$L$106))</f>
        <v>800</v>
      </c>
      <c r="L143" s="72">
        <f>IF(A143&gt;$F$11,"",L120+$A$32*COS(B143))</f>
        <v>-38068.16433675367</v>
      </c>
      <c r="M143" s="152">
        <f>IF(A143&gt;$F$11,"",M120+$A$32*SIN(B143))</f>
        <v>16334.417002446358</v>
      </c>
      <c r="N143" s="147"/>
    </row>
    <row r="144" spans="1:14" ht="17.25" customHeight="1">
      <c r="A144" s="166"/>
      <c r="B144" s="50">
        <f>IF(A143&gt;$F$11,"",G144*$A$13)</f>
        <v>0.8823650207395503</v>
      </c>
      <c r="C144" s="17">
        <f>IF(A143&gt;$F$11,"",TRUNC(B144*$A$15))</f>
        <v>50</v>
      </c>
      <c r="D144" s="4">
        <f>IF(A143&gt;$F$11,"",TRUNC((B144*$A$15-C144)*60))</f>
        <v>33</v>
      </c>
      <c r="E144" s="4">
        <f>IF(A143&gt;$F$11,"",TRUNC(((B144*$A$15-C144)*60-D144)*60))</f>
        <v>20</v>
      </c>
      <c r="F144" s="151">
        <f>IF(A143="","",IF($B$19=0,K120*$A$15+90+B120*2,IF($B$19=1,K120*$A$15+90-B120*2)))</f>
        <v>410.5557916783496</v>
      </c>
      <c r="G144" s="100">
        <f t="shared" si="40"/>
        <v>50.55579167834958</v>
      </c>
      <c r="H144" s="3"/>
      <c r="I144" s="79"/>
      <c r="J144" s="86"/>
      <c r="K144" s="160"/>
      <c r="L144" s="94">
        <f>IF(A143&gt;$F$11,"",L120+$A$33*COS(B144))</f>
        <v>-38062.76406107382</v>
      </c>
      <c r="M144" s="153">
        <f>IF(A143&gt;$F$11,"",M120+$A$33*SIN(B144))</f>
        <v>16340.98107302655</v>
      </c>
      <c r="N144" s="148"/>
    </row>
    <row r="145" spans="1:14" ht="17.25" customHeight="1">
      <c r="A145" s="166">
        <f>A121</f>
      </c>
      <c r="B145" s="55">
        <f>IF(A145&gt;$F$11,"",G145*$A$13)</f>
      </c>
      <c r="C145" s="17">
        <f t="shared" si="39"/>
      </c>
      <c r="D145" s="4">
        <f>IF(A145&gt;$F$11,"",TRUNC((B145*$A$15-C145)*60))</f>
      </c>
      <c r="E145" s="4">
        <f>IF(A145&gt;$F$11,"",TRUNC(((B145*$A$15-C145)*60-D145)*60))</f>
      </c>
      <c r="F145" s="150">
        <f>IF(A145="","",IF($B$19=0,K121*$A$15-90+B121*2,IF($B$19=1,K121*$A$15-90-B121*2)))</f>
      </c>
      <c r="G145" s="100">
        <f t="shared" si="40"/>
      </c>
      <c r="H145" s="81"/>
      <c r="I145" s="82"/>
      <c r="J145" s="88"/>
      <c r="K145" s="159">
        <f>IF(K143="","",IF($J$106-$F$106&gt;K143-$L$106,"",K143-$L$106))</f>
      </c>
      <c r="L145" s="72">
        <f>IF(A145&gt;$F$11,"",L121+$A$32*COS(B145))</f>
      </c>
      <c r="M145" s="152">
        <f>IF(A145&gt;$F$11,"",M121+$A$32*SIN(B145))</f>
      </c>
      <c r="N145" s="147"/>
    </row>
    <row r="146" spans="1:14" ht="17.25" customHeight="1">
      <c r="A146" s="166"/>
      <c r="B146" s="50">
        <f>IF(A145&gt;$F$11,"",G146*$A$13)</f>
      </c>
      <c r="C146" s="17">
        <f>IF(A145&gt;$F$11,"",TRUNC(B146*$A$15))</f>
      </c>
      <c r="D146" s="4">
        <f>IF(A145&gt;$F$11,"",TRUNC((B146*$A$15-C146)*60))</f>
      </c>
      <c r="E146" s="4">
        <f>IF(A145&gt;$F$11,"",TRUNC(((B146*$A$15-C146)*60-D146)*60))</f>
      </c>
      <c r="F146" s="151">
        <f>IF(A145="","",IF($B$19=0,K121*$A$15+90+B121*2,IF($B$19=1,K121*$A$15+90-B121*2)))</f>
      </c>
      <c r="G146" s="100">
        <f t="shared" si="40"/>
      </c>
      <c r="H146" s="3"/>
      <c r="I146" s="79"/>
      <c r="J146" s="86"/>
      <c r="K146" s="160"/>
      <c r="L146" s="94">
        <f>IF(A145&gt;$F$11,"",L121+$A$33*COS(B146))</f>
      </c>
      <c r="M146" s="153">
        <f>IF(A145&gt;$F$11,"",M121+$A$33*SIN(B146))</f>
      </c>
      <c r="N146" s="148"/>
    </row>
    <row r="147" spans="1:14" ht="17.25" customHeight="1">
      <c r="A147" s="166">
        <f>A122</f>
      </c>
      <c r="B147" s="55">
        <f>IF(A147&gt;$F$11,"",G147*$A$13)</f>
      </c>
      <c r="C147" s="17">
        <f t="shared" si="39"/>
      </c>
      <c r="D147" s="4">
        <f>IF(A147&gt;$F$11,"",TRUNC((B147*$A$15-C147)*60))</f>
      </c>
      <c r="E147" s="4">
        <f>IF(A147&gt;$F$11,"",TRUNC(((B147*$A$15-C147)*60-D147)*60))</f>
      </c>
      <c r="F147" s="150">
        <f>IF(A147="","",IF($B$19=0,K122*$A$15-90+B122*2,IF($B$19=1,K122*$A$15-90-B122*2)))</f>
      </c>
      <c r="G147" s="100">
        <f t="shared" si="40"/>
      </c>
      <c r="H147" s="81"/>
      <c r="I147" s="82"/>
      <c r="J147" s="88"/>
      <c r="K147" s="159">
        <f>IF(K145="","",IF($J$106-$F$106&gt;K145-$L$106,"",K145-$L$106))</f>
      </c>
      <c r="L147" s="72">
        <f>IF(A147&gt;$F$11,"",L122+$A$32*COS(B147))</f>
      </c>
      <c r="M147" s="152">
        <f>IF(A147&gt;$F$11,"",M122+$A$32*SIN(B147))</f>
      </c>
      <c r="N147" s="147"/>
    </row>
    <row r="148" spans="1:14" ht="17.25" customHeight="1">
      <c r="A148" s="166"/>
      <c r="B148" s="50">
        <f>IF(A147&gt;$F$11,"",G148*$A$13)</f>
      </c>
      <c r="C148" s="17">
        <f>IF(A147&gt;$F$11,"",TRUNC(B148*$A$15))</f>
      </c>
      <c r="D148" s="4">
        <f>IF(A147&gt;$F$11,"",TRUNC((B148*$A$15-C148)*60))</f>
      </c>
      <c r="E148" s="4">
        <f>IF(A147&gt;$F$11,"",TRUNC(((B148*$A$15-C148)*60-D148)*60))</f>
      </c>
      <c r="F148" s="151">
        <f>IF(A147="","",IF($B$19=0,K122*$A$15+90+B122*2,IF($B$19=1,K122*$A$15+90-B122*2)))</f>
      </c>
      <c r="G148" s="100">
        <f t="shared" si="40"/>
      </c>
      <c r="H148" s="3"/>
      <c r="I148" s="79"/>
      <c r="J148" s="86"/>
      <c r="K148" s="160"/>
      <c r="L148" s="94">
        <f>IF(A147&gt;$F$11,"",L122+$A$33*COS(B148))</f>
      </c>
      <c r="M148" s="153">
        <f>IF(A147&gt;$F$11,"",M122+$A$33*SIN(B148))</f>
      </c>
      <c r="N148" s="148"/>
    </row>
    <row r="149" spans="1:14" ht="17.25" customHeight="1">
      <c r="A149" s="166">
        <f>A123</f>
      </c>
      <c r="B149" s="55">
        <f>IF(A149&gt;$F$11,"",G149*$A$13)</f>
      </c>
      <c r="C149" s="17">
        <f t="shared" si="39"/>
      </c>
      <c r="D149" s="4">
        <f>IF(A149&gt;$F$11,"",TRUNC((B149*$A$15-C149)*60))</f>
      </c>
      <c r="E149" s="4">
        <f>IF(A149&gt;$F$11,"",TRUNC(((B149*$A$15-C149)*60-D149)*60))</f>
      </c>
      <c r="F149" s="150">
        <f>IF(A149="","",IF($B$19=0,K123*$A$15-90+B123*2,IF($B$19=1,K123*$A$15-90-B123*2)))</f>
      </c>
      <c r="G149" s="100">
        <f t="shared" si="40"/>
      </c>
      <c r="H149" s="81"/>
      <c r="I149" s="82"/>
      <c r="J149" s="88"/>
      <c r="K149" s="159">
        <f>IF(K147="","",IF($J$106-$F$106&gt;K147-$L$106,"",K147-$L$106))</f>
      </c>
      <c r="L149" s="72">
        <f>IF(A149&gt;$F$11,"",L123+$A$32*COS(B149))</f>
      </c>
      <c r="M149" s="152">
        <f>IF(A149&gt;$F$11,"",M123+$A$32*SIN(B149))</f>
      </c>
      <c r="N149" s="147"/>
    </row>
    <row r="150" spans="1:14" ht="17.25" customHeight="1">
      <c r="A150" s="166"/>
      <c r="B150" s="50">
        <f>IF(A149&gt;$F$11,"",G150*$A$13)</f>
      </c>
      <c r="C150" s="17">
        <f>IF(A149&gt;$F$11,"",TRUNC(B150*$A$15))</f>
      </c>
      <c r="D150" s="4">
        <f>IF(A149&gt;$F$11,"",TRUNC((B150*$A$15-C150)*60))</f>
      </c>
      <c r="E150" s="4">
        <f>IF(A149&gt;$F$11,"",TRUNC(((B150*$A$15-C150)*60-D150)*60))</f>
      </c>
      <c r="F150" s="151">
        <f>IF(A149="","",IF($B$19=0,K123*$A$15+90+B123*2,IF($B$19=1,K123*$A$15+90-B123*2)))</f>
      </c>
      <c r="G150" s="100">
        <f t="shared" si="40"/>
      </c>
      <c r="H150" s="3"/>
      <c r="I150" s="79"/>
      <c r="J150" s="86"/>
      <c r="K150" s="160"/>
      <c r="L150" s="94">
        <f>IF(A149&gt;$F$11,"",L123+$A$33*COS(B150))</f>
      </c>
      <c r="M150" s="153">
        <f>IF(A149&gt;$F$11,"",M123+$A$33*SIN(B150))</f>
      </c>
      <c r="N150" s="148"/>
    </row>
    <row r="151" spans="1:14" ht="17.25" customHeight="1">
      <c r="A151" s="156">
        <f>A124</f>
      </c>
      <c r="B151" s="55">
        <f>IF(A151&gt;$F$11,"",G151*$A$13)</f>
      </c>
      <c r="C151" s="17">
        <f t="shared" si="39"/>
      </c>
      <c r="D151" s="4">
        <f>IF(A151&gt;$F$11,"",TRUNC((B151*$A$15-C151)*60))</f>
      </c>
      <c r="E151" s="4">
        <f>IF(A151&gt;$F$11,"",TRUNC(((B151*$A$15-C151)*60-D151)*60))</f>
      </c>
      <c r="F151" s="150">
        <f>IF(A151="","",IF($B$19=0,K124*$A$15-90+B124*2,IF($B$19=1,K124*$A$15-90-B124*2)))</f>
      </c>
      <c r="G151" s="100">
        <f t="shared" si="40"/>
      </c>
      <c r="H151" s="81"/>
      <c r="I151" s="82"/>
      <c r="J151" s="88"/>
      <c r="K151" s="159">
        <f>IF(K149="","",IF($J$106-$F$106&gt;K149-$L$106,"",K149-$L$106))</f>
      </c>
      <c r="L151" s="72">
        <f>IF(A151&gt;$F$11,"",#REF!+$A$32*COS(B151))</f>
      </c>
      <c r="M151" s="152">
        <f>IF(A151&gt;$F$11,"",#REF!+$A$32*SIN(B151))</f>
      </c>
      <c r="N151" s="147"/>
    </row>
    <row r="152" spans="1:14" ht="17.25" customHeight="1">
      <c r="A152" s="157"/>
      <c r="B152" s="50">
        <f>IF(A151&gt;$F$11,"",G152*$A$13)</f>
      </c>
      <c r="C152" s="17">
        <f>IF(A151&gt;$F$11,"",TRUNC(B152*$A$15))</f>
      </c>
      <c r="D152" s="4">
        <f>IF(A151&gt;$F$11,"",TRUNC((B152*$A$15-C152)*60))</f>
      </c>
      <c r="E152" s="4">
        <f>IF(A151&gt;$F$11,"",TRUNC(((B152*$A$15-C152)*60-D152)*60))</f>
      </c>
      <c r="F152" s="151">
        <f>IF(A151="","",IF($B$19=0,K124*$A$15+90+B124*2,IF($B$19=1,K124*$A$15+90-B124*2)))</f>
      </c>
      <c r="G152" s="100">
        <f t="shared" si="40"/>
      </c>
      <c r="H152" s="3"/>
      <c r="I152" s="79"/>
      <c r="J152" s="86"/>
      <c r="K152" s="160"/>
      <c r="L152" s="94">
        <f>IF(A151&gt;$F$11,"",#REF!+$A$33*COS(B152))</f>
      </c>
      <c r="M152" s="153">
        <f>IF(A151&gt;$F$11,"",#REF!+$A$33*SIN(B152))</f>
      </c>
      <c r="N152" s="148"/>
    </row>
  </sheetData>
  <sheetProtection/>
  <mergeCells count="80">
    <mergeCell ref="G17:H17"/>
    <mergeCell ref="J17:K17"/>
    <mergeCell ref="A41:A42"/>
    <mergeCell ref="K41:K42"/>
    <mergeCell ref="A43:A44"/>
    <mergeCell ref="G18:H18"/>
    <mergeCell ref="J18:K18"/>
    <mergeCell ref="K39:K40"/>
    <mergeCell ref="Q19:S19"/>
    <mergeCell ref="C21:E21"/>
    <mergeCell ref="C31:E31"/>
    <mergeCell ref="C34:E34"/>
    <mergeCell ref="K43:K44"/>
    <mergeCell ref="A35:A36"/>
    <mergeCell ref="K35:K36"/>
    <mergeCell ref="A37:A38"/>
    <mergeCell ref="K37:K38"/>
    <mergeCell ref="A39:A40"/>
    <mergeCell ref="A45:A46"/>
    <mergeCell ref="K45:K46"/>
    <mergeCell ref="A47:A48"/>
    <mergeCell ref="K47:K48"/>
    <mergeCell ref="A49:A50"/>
    <mergeCell ref="K49:K50"/>
    <mergeCell ref="C64:E64"/>
    <mergeCell ref="C70:E70"/>
    <mergeCell ref="A89:A90"/>
    <mergeCell ref="K89:K90"/>
    <mergeCell ref="A91:A92"/>
    <mergeCell ref="K91:K92"/>
    <mergeCell ref="A85:A86"/>
    <mergeCell ref="K85:K86"/>
    <mergeCell ref="C81:E81"/>
    <mergeCell ref="C84:E84"/>
    <mergeCell ref="C10:E10"/>
    <mergeCell ref="C12:E12"/>
    <mergeCell ref="C14:E14"/>
    <mergeCell ref="C55:E55"/>
    <mergeCell ref="C60:E60"/>
    <mergeCell ref="C62:E62"/>
    <mergeCell ref="C17:E17"/>
    <mergeCell ref="A93:A94"/>
    <mergeCell ref="K93:K94"/>
    <mergeCell ref="A95:A96"/>
    <mergeCell ref="K95:K96"/>
    <mergeCell ref="A87:A88"/>
    <mergeCell ref="K87:K88"/>
    <mergeCell ref="A97:A98"/>
    <mergeCell ref="K97:K98"/>
    <mergeCell ref="A99:A100"/>
    <mergeCell ref="K99:K100"/>
    <mergeCell ref="C105:E105"/>
    <mergeCell ref="C107:E107"/>
    <mergeCell ref="C109:E109"/>
    <mergeCell ref="C111:E111"/>
    <mergeCell ref="G111:H111"/>
    <mergeCell ref="J111:K111"/>
    <mergeCell ref="G112:H112"/>
    <mergeCell ref="J112:K112"/>
    <mergeCell ref="C116:E116"/>
    <mergeCell ref="C126:E126"/>
    <mergeCell ref="C129:E129"/>
    <mergeCell ref="C133:E133"/>
    <mergeCell ref="C136:E136"/>
    <mergeCell ref="A137:A138"/>
    <mergeCell ref="K137:K138"/>
    <mergeCell ref="A139:A140"/>
    <mergeCell ref="K139:K140"/>
    <mergeCell ref="A141:A142"/>
    <mergeCell ref="K141:K142"/>
    <mergeCell ref="A143:A144"/>
    <mergeCell ref="K143:K144"/>
    <mergeCell ref="A151:A152"/>
    <mergeCell ref="K151:K152"/>
    <mergeCell ref="A145:A146"/>
    <mergeCell ref="K145:K146"/>
    <mergeCell ref="A147:A148"/>
    <mergeCell ref="K147:K148"/>
    <mergeCell ref="A149:A150"/>
    <mergeCell ref="K149:K150"/>
  </mergeCells>
  <printOptions horizontalCentered="1"/>
  <pageMargins left="0.3937007874015748" right="0.2362204724409449" top="0.2362204724409449" bottom="0.2362204724409449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クロソイド計算</dc:title>
  <dc:subject/>
  <dc:creator>T.S</dc:creator>
  <cp:keywords/>
  <dc:description>座標幅計算</dc:description>
  <cp:lastModifiedBy>sg2_user</cp:lastModifiedBy>
  <cp:lastPrinted>2017-09-13T02:03:21Z</cp:lastPrinted>
  <dcterms:created xsi:type="dcterms:W3CDTF">2017-08-18T05:41:42Z</dcterms:created>
  <dcterms:modified xsi:type="dcterms:W3CDTF">2017-09-16T04:52:14Z</dcterms:modified>
  <cp:category/>
  <cp:version/>
  <cp:contentType/>
  <cp:contentStatus/>
</cp:coreProperties>
</file>